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ueil" sheetId="1" state="visible" r:id="rId3"/>
    <sheet name="Comptes" sheetId="2" state="visible" r:id="rId4"/>
    <sheet name="Centres" sheetId="3" state="visible" r:id="rId5"/>
    <sheet name="Journal" sheetId="4" state="visible" r:id="rId6"/>
    <sheet name="GrandLivre" sheetId="5" state="visible" r:id="rId7"/>
    <sheet name="Balance" sheetId="6" state="visible" r:id="rId8"/>
    <sheet name="Resultat" sheetId="7" state="visible" r:id="rId9"/>
    <sheet name="Bilan" sheetId="8" state="visible" r:id="rId10"/>
    <sheet name="Analyse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Les codes et libelles reprennent le plan du SCF (arrete du 26 juillet 2008).
Adaptez-les a votre activite et faites-les valider par votre comptable :
la nomenclature complete est plus large que cette liste.</t>
        </r>
      </text>
    </comment>
  </commentList>
</comments>
</file>

<file path=xl/sharedStrings.xml><?xml version="1.0" encoding="utf-8"?>
<sst xmlns="http://schemas.openxmlformats.org/spreadsheetml/2006/main" count="450" uniqueCount="316">
  <si>
    <t xml:space="preserve">Systeme comptable SCF  |  النظام المحاسبي المالي</t>
  </si>
  <si>
    <t xml:space="preserve">Comptabilite en partie double pour l Algerie — un seul fichier, aucune macro.</t>
  </si>
  <si>
    <t xml:space="preserve">NAVIGATION</t>
  </si>
  <si>
    <t xml:space="preserve">La seule feuille a remplir. Debit = Credit.</t>
  </si>
  <si>
    <t xml:space="preserve">Choisissez un compte, voyez ses mouvements.</t>
  </si>
  <si>
    <t xml:space="preserve">Tous les comptes, debits, credits et soldes.</t>
  </si>
  <si>
    <t xml:space="preserve">Valeur ajoutee, EBE, resultat net.</t>
  </si>
  <si>
    <t xml:space="preserve">Actif et passif, avec controle d equilibre.</t>
  </si>
  <si>
    <t xml:space="preserve">Ou part l argent, centre par centre.</t>
  </si>
  <si>
    <t xml:space="preserve">Les comptes SCF. Ajoutez les votres.</t>
  </si>
  <si>
    <t xml:space="preserve">Magasin, chantier, administration.</t>
  </si>
  <si>
    <t xml:space="preserve">ETAT DU DOSSIER  |  حالة الملف</t>
  </si>
  <si>
    <t xml:space="preserve">Total debits (DA)</t>
  </si>
  <si>
    <t xml:space="preserve">Total credits (DA)</t>
  </si>
  <si>
    <t xml:space="preserve">Controle du journal</t>
  </si>
  <si>
    <t xml:space="preserve">Resultat net (DA)</t>
  </si>
  <si>
    <t xml:space="preserve">Controle du bilan</t>
  </si>
  <si>
    <t xml:space="preserve">COMMENT L UTILISER  |  كيف تستعمله</t>
  </si>
  <si>
    <t xml:space="preserve">1. Ouvrez Journal et supprimez les 10 lignes d exemple (lignes 4 a 13).</t>
  </si>
  <si>
    <t xml:space="preserve">2. Saisissez vos operations : chaque piece sur au moins deux lignes, un debit et un credit egaux.</t>
  </si>
  <si>
    <t xml:space="preserve">3. Le compte se choisit dans la liste deroulante — le libelle s ecrit tout seul.</t>
  </si>
  <si>
    <t xml:space="preserve">4. Verifiez en bas du Journal que le message dit « equilibre ».</t>
  </si>
  <si>
    <t xml:space="preserve">5. Tout le reste — livre, balance, resultat, bilan — se calcule sans rien toucher.</t>
  </si>
  <si>
    <t xml:space="preserve">Cellules jaunes = a remplir. Texte bleu = votre saisie. Texte vert = calcule ailleurs.</t>
  </si>
  <si>
    <t xml:space="preserve">Le plan comptable reprend le SCF (arrete du 26 juillet 2008) dans sa partie courante.</t>
  </si>
  <si>
    <t xml:space="preserve">Completez-le selon votre activite et faites-le valider par votre comptable.</t>
  </si>
  <si>
    <t xml:space="preserve">Les taux (TVA, TAP, IBS) changent avec la loi de finances : ce fichier n en fixe aucun.</t>
  </si>
  <si>
    <t xml:space="preserve">Plan comptable — SCF  |  دليل الحسابات</t>
  </si>
  <si>
    <t xml:space="preserve">Sous-ensemble courant du Systeme Comptable Financier. Ajoutez vos comptes a la suite : la Balance, le Resultat et le Bilan suivent automatiquement.</t>
  </si>
  <si>
    <t xml:space="preserve">Compte
الحساب</t>
  </si>
  <si>
    <t xml:space="preserve">Libelle (FR)</t>
  </si>
  <si>
    <t xml:space="preserve">التسمية</t>
  </si>
  <si>
    <t xml:space="preserve">Classe
الصنف</t>
  </si>
  <si>
    <t xml:space="preserve">Categorie
الطبيعة</t>
  </si>
  <si>
    <t xml:space="preserve">Rubrique
البند</t>
  </si>
  <si>
    <t xml:space="preserve">101</t>
  </si>
  <si>
    <t xml:space="preserve">Capital emis</t>
  </si>
  <si>
    <t xml:space="preserve">رأس المال الصادر</t>
  </si>
  <si>
    <t xml:space="preserve">Passif</t>
  </si>
  <si>
    <t xml:space="preserve">Capitaux propres</t>
  </si>
  <si>
    <t xml:space="preserve">106</t>
  </si>
  <si>
    <t xml:space="preserve">Reserves</t>
  </si>
  <si>
    <t xml:space="preserve">الاحتياطات</t>
  </si>
  <si>
    <t xml:space="preserve">110</t>
  </si>
  <si>
    <t xml:space="preserve">Report a nouveau</t>
  </si>
  <si>
    <t xml:space="preserve">الترحيل من جديد</t>
  </si>
  <si>
    <t xml:space="preserve">164</t>
  </si>
  <si>
    <t xml:space="preserve">Emprunts aupres des etablissements de credit</t>
  </si>
  <si>
    <t xml:space="preserve">قروض لدى مؤسسات القرض</t>
  </si>
  <si>
    <t xml:space="preserve">Dettes financieres</t>
  </si>
  <si>
    <t xml:space="preserve">211</t>
  </si>
  <si>
    <t xml:space="preserve">Terrains</t>
  </si>
  <si>
    <t xml:space="preserve">أراضي</t>
  </si>
  <si>
    <t xml:space="preserve">Actif</t>
  </si>
  <si>
    <t xml:space="preserve">Immobilisations</t>
  </si>
  <si>
    <t xml:space="preserve">213</t>
  </si>
  <si>
    <t xml:space="preserve">Constructions</t>
  </si>
  <si>
    <t xml:space="preserve">بنايات</t>
  </si>
  <si>
    <t xml:space="preserve">215</t>
  </si>
  <si>
    <t xml:space="preserve">Installations techniques, materiel et outillage</t>
  </si>
  <si>
    <t xml:space="preserve">تجهيزات ومعدات</t>
  </si>
  <si>
    <t xml:space="preserve">218</t>
  </si>
  <si>
    <t xml:space="preserve">Autres immobilisations corporelles</t>
  </si>
  <si>
    <t xml:space="preserve">تثبيتات عينية أخرى</t>
  </si>
  <si>
    <t xml:space="preserve">281</t>
  </si>
  <si>
    <t xml:space="preserve">Amortissements des immobilisations corporelles</t>
  </si>
  <si>
    <t xml:space="preserve">اهتلاك التثبيتات العينية</t>
  </si>
  <si>
    <t xml:space="preserve">30</t>
  </si>
  <si>
    <t xml:space="preserve">Stocks de marchandises</t>
  </si>
  <si>
    <t xml:space="preserve">مخزون البضائع</t>
  </si>
  <si>
    <t xml:space="preserve">Stocks</t>
  </si>
  <si>
    <t xml:space="preserve">31</t>
  </si>
  <si>
    <t xml:space="preserve">Matieres premieres et fournitures</t>
  </si>
  <si>
    <t xml:space="preserve">المواد الأولية واللوازم</t>
  </si>
  <si>
    <t xml:space="preserve">35</t>
  </si>
  <si>
    <t xml:space="preserve">Stocks de produits finis</t>
  </si>
  <si>
    <t xml:space="preserve">مخزون المنتجات التامة</t>
  </si>
  <si>
    <t xml:space="preserve">401</t>
  </si>
  <si>
    <t xml:space="preserve">Fournisseurs de stocks et services</t>
  </si>
  <si>
    <t xml:space="preserve">موردو المخزونات والخدمات</t>
  </si>
  <si>
    <t xml:space="preserve">Dettes fournisseurs</t>
  </si>
  <si>
    <t xml:space="preserve">404</t>
  </si>
  <si>
    <t xml:space="preserve">Fournisseurs d immobilisations</t>
  </si>
  <si>
    <t xml:space="preserve">موردو التثبيتات</t>
  </si>
  <si>
    <t xml:space="preserve">411</t>
  </si>
  <si>
    <t xml:space="preserve">Clients</t>
  </si>
  <si>
    <t xml:space="preserve">الزبائن</t>
  </si>
  <si>
    <t xml:space="preserve">Creances</t>
  </si>
  <si>
    <t xml:space="preserve">419</t>
  </si>
  <si>
    <t xml:space="preserve">Clients crediteurs, avances recues</t>
  </si>
  <si>
    <t xml:space="preserve">الزبائن الدائنون، تسبيقات</t>
  </si>
  <si>
    <t xml:space="preserve">Autres dettes</t>
  </si>
  <si>
    <t xml:space="preserve">421</t>
  </si>
  <si>
    <t xml:space="preserve">Personnel, remunerations dues</t>
  </si>
  <si>
    <t xml:space="preserve">المستخدمون، أجور مستحقة</t>
  </si>
  <si>
    <t xml:space="preserve">Dettes fiscales et sociales</t>
  </si>
  <si>
    <t xml:space="preserve">431</t>
  </si>
  <si>
    <t xml:space="preserve">Securite sociale (CNAS)</t>
  </si>
  <si>
    <t xml:space="preserve">الضمان الاجتماعي (CNAS)</t>
  </si>
  <si>
    <t xml:space="preserve">442</t>
  </si>
  <si>
    <t xml:space="preserve">Etat, impots et taxes</t>
  </si>
  <si>
    <t xml:space="preserve">الدولة، ضرائب ورسوم</t>
  </si>
  <si>
    <t xml:space="preserve">4456</t>
  </si>
  <si>
    <t xml:space="preserve">TVA deductible</t>
  </si>
  <si>
    <t xml:space="preserve">الرسم على القيمة المضافة القابل للخصم</t>
  </si>
  <si>
    <t xml:space="preserve">4457</t>
  </si>
  <si>
    <t xml:space="preserve">TVA collectee</t>
  </si>
  <si>
    <t xml:space="preserve">الرسم على القيمة المضافة المحصّل</t>
  </si>
  <si>
    <t xml:space="preserve">512</t>
  </si>
  <si>
    <t xml:space="preserve">Banque</t>
  </si>
  <si>
    <t xml:space="preserve">البنك</t>
  </si>
  <si>
    <t xml:space="preserve">Tresorerie</t>
  </si>
  <si>
    <t xml:space="preserve">530</t>
  </si>
  <si>
    <t xml:space="preserve">Caisse</t>
  </si>
  <si>
    <t xml:space="preserve">الصندوق</t>
  </si>
  <si>
    <t xml:space="preserve">600</t>
  </si>
  <si>
    <t xml:space="preserve">Achats de marchandises vendues</t>
  </si>
  <si>
    <t xml:space="preserve">مشتريات البضائع المباعة</t>
  </si>
  <si>
    <t xml:space="preserve">Charges</t>
  </si>
  <si>
    <t xml:space="preserve">Achats consommes</t>
  </si>
  <si>
    <t xml:space="preserve">601</t>
  </si>
  <si>
    <t xml:space="preserve">Matieres premieres consommees</t>
  </si>
  <si>
    <t xml:space="preserve">المواد الأولية المستهلكة</t>
  </si>
  <si>
    <t xml:space="preserve">607</t>
  </si>
  <si>
    <t xml:space="preserve">Achats non stockes de matieres et fournitures</t>
  </si>
  <si>
    <t xml:space="preserve">مشتريات غير مخزّنة</t>
  </si>
  <si>
    <t xml:space="preserve">613</t>
  </si>
  <si>
    <t xml:space="preserve">Locations</t>
  </si>
  <si>
    <t xml:space="preserve">الإيجارات</t>
  </si>
  <si>
    <t xml:space="preserve">Services exterieurs</t>
  </si>
  <si>
    <t xml:space="preserve">615</t>
  </si>
  <si>
    <t xml:space="preserve">Entretien et reparations</t>
  </si>
  <si>
    <t xml:space="preserve">الصيانة والتصليح</t>
  </si>
  <si>
    <t xml:space="preserve">616</t>
  </si>
  <si>
    <t xml:space="preserve">Primes d assurances</t>
  </si>
  <si>
    <t xml:space="preserve">أقساط التأمين</t>
  </si>
  <si>
    <t xml:space="preserve">622</t>
  </si>
  <si>
    <t xml:space="preserve">Remunerations d intermediaires et honoraires</t>
  </si>
  <si>
    <t xml:space="preserve">أتعاب ووسطاء</t>
  </si>
  <si>
    <t xml:space="preserve">623</t>
  </si>
  <si>
    <t xml:space="preserve">Publicite</t>
  </si>
  <si>
    <t xml:space="preserve">الإشهار</t>
  </si>
  <si>
    <t xml:space="preserve">624</t>
  </si>
  <si>
    <t xml:space="preserve">Transports</t>
  </si>
  <si>
    <t xml:space="preserve">النقل</t>
  </si>
  <si>
    <t xml:space="preserve">626</t>
  </si>
  <si>
    <t xml:space="preserve">Frais postaux et telecommunications</t>
  </si>
  <si>
    <t xml:space="preserve">مصاريف البريد والاتصالات</t>
  </si>
  <si>
    <t xml:space="preserve">627</t>
  </si>
  <si>
    <t xml:space="preserve">Services bancaires</t>
  </si>
  <si>
    <t xml:space="preserve">خدمات مصرفية</t>
  </si>
  <si>
    <t xml:space="preserve">631</t>
  </si>
  <si>
    <t xml:space="preserve">Remunerations du personnel</t>
  </si>
  <si>
    <t xml:space="preserve">أجور المستخدمين</t>
  </si>
  <si>
    <t xml:space="preserve">Charges de personnel</t>
  </si>
  <si>
    <t xml:space="preserve">635</t>
  </si>
  <si>
    <t xml:space="preserve">Cotisations aux organismes sociaux</t>
  </si>
  <si>
    <t xml:space="preserve">اشتراكات الهيئات الاجتماعية</t>
  </si>
  <si>
    <t xml:space="preserve">641</t>
  </si>
  <si>
    <t xml:space="preserve">Impots et taxes non recuperables sur le chiffre d affaires</t>
  </si>
  <si>
    <t xml:space="preserve">ضرائب ورسوم غير مستردة على رقم الأعمال</t>
  </si>
  <si>
    <t xml:space="preserve">Impots et taxes</t>
  </si>
  <si>
    <t xml:space="preserve">642</t>
  </si>
  <si>
    <t xml:space="preserve">Autres impots et taxes</t>
  </si>
  <si>
    <t xml:space="preserve">ضرائب ورسوم أخرى</t>
  </si>
  <si>
    <t xml:space="preserve">661</t>
  </si>
  <si>
    <t xml:space="preserve">Charges d interets</t>
  </si>
  <si>
    <t xml:space="preserve">أعباء الفوائد</t>
  </si>
  <si>
    <t xml:space="preserve">Charges financieres</t>
  </si>
  <si>
    <t xml:space="preserve">681</t>
  </si>
  <si>
    <t xml:space="preserve">Dotations aux amortissements</t>
  </si>
  <si>
    <t xml:space="preserve">مخصصات الاهتلاك</t>
  </si>
  <si>
    <t xml:space="preserve">Dotations</t>
  </si>
  <si>
    <t xml:space="preserve">695</t>
  </si>
  <si>
    <t xml:space="preserve">Impots sur les resultats ordinaires</t>
  </si>
  <si>
    <t xml:space="preserve">الضرائب على النتائج العادية</t>
  </si>
  <si>
    <t xml:space="preserve">Impots sur le resultat</t>
  </si>
  <si>
    <t xml:space="preserve">700</t>
  </si>
  <si>
    <t xml:space="preserve">Ventes de marchandises</t>
  </si>
  <si>
    <t xml:space="preserve">مبيعات البضائع</t>
  </si>
  <si>
    <t xml:space="preserve">Produits</t>
  </si>
  <si>
    <t xml:space="preserve">Chiffre d affaires</t>
  </si>
  <si>
    <t xml:space="preserve">701</t>
  </si>
  <si>
    <t xml:space="preserve">Ventes de produits finis</t>
  </si>
  <si>
    <t xml:space="preserve">مبيعات المنتجات التامة</t>
  </si>
  <si>
    <t xml:space="preserve">706</t>
  </si>
  <si>
    <t xml:space="preserve">Prestations de services</t>
  </si>
  <si>
    <t xml:space="preserve">تقديم الخدمات</t>
  </si>
  <si>
    <t xml:space="preserve">708</t>
  </si>
  <si>
    <t xml:space="preserve">Produits des activites annexes</t>
  </si>
  <si>
    <t xml:space="preserve">منتجات الأنشطة الملحقة</t>
  </si>
  <si>
    <t xml:space="preserve">758</t>
  </si>
  <si>
    <t xml:space="preserve">Autres produits operationnels</t>
  </si>
  <si>
    <t xml:space="preserve">منتجات عملياتية أخرى</t>
  </si>
  <si>
    <t xml:space="preserve">768</t>
  </si>
  <si>
    <t xml:space="preserve">Autres produits financiers</t>
  </si>
  <si>
    <t xml:space="preserve">منتجات مالية أخرى</t>
  </si>
  <si>
    <t xml:space="preserve">Produits financiers</t>
  </si>
  <si>
    <t xml:space="preserve">Centres de cout  |  مراكز التكلفة</t>
  </si>
  <si>
    <t xml:space="preserve">Sert a savoir ou part l argent : magasin, chantier, administration. Colonne facultative dans le Journal.</t>
  </si>
  <si>
    <t xml:space="preserve">Code</t>
  </si>
  <si>
    <t xml:space="preserve">GEN</t>
  </si>
  <si>
    <t xml:space="preserve">General / non affecte</t>
  </si>
  <si>
    <t xml:space="preserve">عام / غير مخصص</t>
  </si>
  <si>
    <t xml:space="preserve">MAG</t>
  </si>
  <si>
    <t xml:space="preserve">Magasin</t>
  </si>
  <si>
    <t xml:space="preserve">المحل</t>
  </si>
  <si>
    <t xml:space="preserve">CHA</t>
  </si>
  <si>
    <t xml:space="preserve">Chantier</t>
  </si>
  <si>
    <t xml:space="preserve">الورشة</t>
  </si>
  <si>
    <t xml:space="preserve">ADM</t>
  </si>
  <si>
    <t xml:space="preserve">Administration</t>
  </si>
  <si>
    <t xml:space="preserve">الإدارة</t>
  </si>
  <si>
    <t xml:space="preserve">TRA</t>
  </si>
  <si>
    <t xml:space="preserve">Transport</t>
  </si>
  <si>
    <t xml:space="preserve">Journal  |  دفتر اليومية</t>
  </si>
  <si>
    <t xml:space="preserve">La seule feuille a remplir. Chaque operation s ecrit sur au moins deux lignes : un debit et un credit du meme montant. Les cellules jaunes sont les votres.</t>
  </si>
  <si>
    <t xml:space="preserve">N°</t>
  </si>
  <si>
    <t xml:space="preserve">Date
التاريخ</t>
  </si>
  <si>
    <t xml:space="preserve">Piece
الوثيقة</t>
  </si>
  <si>
    <t xml:space="preserve">Libelle du compte</t>
  </si>
  <si>
    <t xml:space="preserve">Description
البيان</t>
  </si>
  <si>
    <t xml:space="preserve">Centre
المركز</t>
  </si>
  <si>
    <t xml:space="preserve">Debit (DA)
مدين</t>
  </si>
  <si>
    <t xml:space="preserve">Credit (DA)
دائن</t>
  </si>
  <si>
    <t xml:space="preserve">2026-01-05</t>
  </si>
  <si>
    <t xml:space="preserve">FA-2026-001</t>
  </si>
  <si>
    <t xml:space="preserve">Vente marchandises client Atlas</t>
  </si>
  <si>
    <t xml:space="preserve">TVA 19% sur vente</t>
  </si>
  <si>
    <t xml:space="preserve">2026-01-12</t>
  </si>
  <si>
    <t xml:space="preserve">BQ-001</t>
  </si>
  <si>
    <t xml:space="preserve">Encaissement facture 2026-001</t>
  </si>
  <si>
    <t xml:space="preserve">2026-01-15</t>
  </si>
  <si>
    <t xml:space="preserve">AF-114</t>
  </si>
  <si>
    <t xml:space="preserve">Achat marchandises fournisseur</t>
  </si>
  <si>
    <t xml:space="preserve">TVA 19% sur achat</t>
  </si>
  <si>
    <t xml:space="preserve">2026-01-31</t>
  </si>
  <si>
    <t xml:space="preserve">PAIE-01</t>
  </si>
  <si>
    <t xml:space="preserve">Salaires janvier</t>
  </si>
  <si>
    <t xml:space="preserve">Salaires janvier a payer</t>
  </si>
  <si>
    <t xml:space="preserve">TOTAUX  |  المجاميع</t>
  </si>
  <si>
    <t xml:space="preserve">Grand livre  |  دفتر الأستاذ</t>
  </si>
  <si>
    <t xml:space="preserve">Choisissez un compte dans la cellule jaune : toutes ses ecritures et son solde s affichent.</t>
  </si>
  <si>
    <t xml:space="preserve">Compte  |  الحساب</t>
  </si>
  <si>
    <t xml:space="preserve">Date</t>
  </si>
  <si>
    <t xml:space="preserve">Piece</t>
  </si>
  <si>
    <t xml:space="preserve">Description</t>
  </si>
  <si>
    <t xml:space="preserve">Centre</t>
  </si>
  <si>
    <t xml:space="preserve">Debit (DA)</t>
  </si>
  <si>
    <t xml:space="preserve">Credit (DA)</t>
  </si>
  <si>
    <t xml:space="preserve">Solde cumule (DA)</t>
  </si>
  <si>
    <t xml:space="preserve">technique — ne pas modifier</t>
  </si>
  <si>
    <t xml:space="preserve">TOTAUX du compte  |  مجاميع الحساب</t>
  </si>
  <si>
    <t xml:space="preserve">Solde positif = debiteur · Solde negatif = crediteur  |  الرصيد الموجب مدين والسالب دائن</t>
  </si>
  <si>
    <t xml:space="preserve">Balance generale  |  ميزان المراجعة</t>
  </si>
  <si>
    <t xml:space="preserve">Totalement automatique : chaque compte du plan, ses mouvements et son solde.</t>
  </si>
  <si>
    <t xml:space="preserve">Compte</t>
  </si>
  <si>
    <t xml:space="preserve">Libelle</t>
  </si>
  <si>
    <t xml:space="preserve">Classe</t>
  </si>
  <si>
    <t xml:space="preserve">Solde debiteur</t>
  </si>
  <si>
    <t xml:space="preserve">Solde crediteur</t>
  </si>
  <si>
    <t xml:space="preserve">Compte de resultat  |  حساب النتائج</t>
  </si>
  <si>
    <t xml:space="preserve">Presentation par nature, comme le prevoit le SCF. Tout vient de la Balance.</t>
  </si>
  <si>
    <t xml:space="preserve">Rubrique</t>
  </si>
  <si>
    <t xml:space="preserve">البند</t>
  </si>
  <si>
    <t xml:space="preserve">Montant (DA)</t>
  </si>
  <si>
    <t xml:space="preserve">رقم الأعمال</t>
  </si>
  <si>
    <t xml:space="preserve">المشتريات المستهلكة</t>
  </si>
  <si>
    <t xml:space="preserve">Services exterieurs et autres consommations</t>
  </si>
  <si>
    <t xml:space="preserve">الخدمات الخارجية والاستهلاكات الأخرى</t>
  </si>
  <si>
    <t xml:space="preserve">VALEUR AJOUTEE D EXPLOITATION</t>
  </si>
  <si>
    <t xml:space="preserve">القيمة المضافة للاستغلال</t>
  </si>
  <si>
    <t xml:space="preserve">أعباء المستخدمين</t>
  </si>
  <si>
    <t xml:space="preserve">Impots, taxes et versements assimiles</t>
  </si>
  <si>
    <t xml:space="preserve">الضرائب والرسوم</t>
  </si>
  <si>
    <t xml:space="preserve">EXCEDENT BRUT D EXPLOITATION</t>
  </si>
  <si>
    <t xml:space="preserve">الفائض الإجمالي للاستغلال</t>
  </si>
  <si>
    <t xml:space="preserve">Dotations aux amortissements et provisions</t>
  </si>
  <si>
    <t xml:space="preserve">مخصصات الاهتلاك والمؤونات</t>
  </si>
  <si>
    <t xml:space="preserve">RESULTAT OPERATIONNEL</t>
  </si>
  <si>
    <t xml:space="preserve">النتيجة العملياتية</t>
  </si>
  <si>
    <t xml:space="preserve">المنتجات المالية</t>
  </si>
  <si>
    <t xml:space="preserve">الأعباء المالية</t>
  </si>
  <si>
    <t xml:space="preserve">RESULTAT ORDINAIRE AVANT IMPOTS</t>
  </si>
  <si>
    <t xml:space="preserve">النتيجة العادية قبل الضريبة</t>
  </si>
  <si>
    <t xml:space="preserve">RESULTAT NET DE L EXERCICE</t>
  </si>
  <si>
    <t xml:space="preserve">النتيجة الصافية للسنة المالية</t>
  </si>
  <si>
    <t xml:space="preserve">Les charges apparaissent en negatif : la somme de la colonne donne directement le resultat.</t>
  </si>
  <si>
    <t xml:space="preserve">Bilan  |  الميزانية</t>
  </si>
  <si>
    <t xml:space="preserve">Actif a gauche, passif a droite. Le resultat net vient de la feuille Resultat.</t>
  </si>
  <si>
    <t xml:space="preserve">ACTIF</t>
  </si>
  <si>
    <t xml:space="preserve">الأصول</t>
  </si>
  <si>
    <t xml:space="preserve">PASSIF</t>
  </si>
  <si>
    <t xml:space="preserve">الخصوم</t>
  </si>
  <si>
    <t xml:space="preserve">Immobilisations (net)</t>
  </si>
  <si>
    <t xml:space="preserve">التثبيتات (صافي)</t>
  </si>
  <si>
    <t xml:space="preserve">الأموال الخاصة</t>
  </si>
  <si>
    <t xml:space="preserve">المخزونات</t>
  </si>
  <si>
    <t xml:space="preserve">Resultat net de l exercice</t>
  </si>
  <si>
    <t xml:space="preserve">النتيجة الصافية</t>
  </si>
  <si>
    <t xml:space="preserve">Creances et emplois assimiles</t>
  </si>
  <si>
    <t xml:space="preserve">الحسابات الدائنة</t>
  </si>
  <si>
    <t xml:space="preserve">الديون المالية</t>
  </si>
  <si>
    <t xml:space="preserve">Tresorerie (banque, caisse)</t>
  </si>
  <si>
    <t xml:space="preserve">الخزينة (بنك، صندوق)</t>
  </si>
  <si>
    <t xml:space="preserve">ديون الموردين</t>
  </si>
  <si>
    <t xml:space="preserve">الديون الجبائية والاجتماعية</t>
  </si>
  <si>
    <t xml:space="preserve">ديون أخرى</t>
  </si>
  <si>
    <t xml:space="preserve">TOTAL ACTIF  |  مجموع الأصول</t>
  </si>
  <si>
    <t xml:space="preserve">TOTAL PASSIF  |  مجموع الخصوم</t>
  </si>
  <si>
    <t xml:space="preserve">Analyse par centre de cout  |  التحليل حسب مركز التكلفة</t>
  </si>
  <si>
    <t xml:space="preserve">Ou part l argent, et d ou il vient, centre par centre.</t>
  </si>
  <si>
    <t xml:space="preserve">Charges (DA)</t>
  </si>
  <si>
    <t xml:space="preserve">Produits (DA)</t>
  </si>
  <si>
    <t xml:space="preserve">TOTAUX</t>
  </si>
  <si>
    <t xml:space="preserve">Une ecriture sans centre n apparait dans aucune ligne : laissez GEN par defaut.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</si>
</sst>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;\(#,##0.00\);\-"/>
    <numFmt numFmtId="166" formatCode="General"/>
    <numFmt numFmtId="167" formatCode="dd/mm/yyyy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475569"/>
      <name val="Arial"/>
      <family val="0"/>
      <charset val="1"/>
    </font>
    <font>
      <b val="true"/>
      <sz val="11"/>
      <color rgb="FF006233"/>
      <name val="Arial"/>
      <family val="0"/>
      <charset val="1"/>
    </font>
    <font>
      <b val="true"/>
      <u val="single"/>
      <sz val="11"/>
      <color rgb="FF0563C1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2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6233"/>
        <bgColor rgb="FF008000"/>
      </patternFill>
    </fill>
    <fill>
      <patternFill patternType="solid">
        <fgColor rgb="FFECFDF5"/>
        <bgColor rgb="FFF1F5F9"/>
      </patternFill>
    </fill>
    <fill>
      <patternFill patternType="solid">
        <fgColor rgb="FF0B1220"/>
        <bgColor rgb="FF000000"/>
      </patternFill>
    </fill>
    <fill>
      <patternFill patternType="solid">
        <fgColor rgb="FFFFFFCC"/>
        <bgColor rgb="FFFFFFFF"/>
      </patternFill>
    </fill>
    <fill>
      <patternFill patternType="solid">
        <fgColor rgb="FFF1F5F9"/>
        <bgColor rgb="FFECFD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 diagonalUp="false" diagonalDown="false">
      <left/>
      <right/>
      <top style="medium">
        <color rgb="FF0062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233"/>
      <rgbColor rgb="FFC0C0C0"/>
      <rgbColor rgb="FF808080"/>
      <rgbColor rgb="FF9999FF"/>
      <rgbColor rgb="FF993366"/>
      <rgbColor rgb="FFFFFFCC"/>
      <rgbColor rgb="FFECFDF5"/>
      <rgbColor rgb="FF660066"/>
      <rgbColor rgb="FFFF8080"/>
      <rgbColor rgb="FF0563C1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B12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46"/>
    <col collapsed="false" customWidth="true" hidden="false" outlineLevel="0" max="4" min="4" style="0" width="30"/>
    <col collapsed="false" customWidth="true" hidden="false" outlineLevel="0" max="5" min="5" style="0" width="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B4" s="3" t="s">
        <v>2</v>
      </c>
    </row>
    <row r="5" customFormat="false" ht="24" hidden="false" customHeight="true" outlineLevel="0" collapsed="false">
      <c r="B5" s="4" t="str">
        <f aca="false">HYPERLINK("#Journal!A1","Journal — دفتر اليومية")</f>
        <v>Journal — دفتر اليومية</v>
      </c>
      <c r="C5" s="5" t="s">
        <v>3</v>
      </c>
    </row>
    <row r="6" customFormat="false" ht="24" hidden="false" customHeight="true" outlineLevel="0" collapsed="false">
      <c r="B6" s="4" t="str">
        <f aca="false">HYPERLINK("#GrandLivre!A1","Grand livre — دفتر الأستاذ")</f>
        <v>Grand livre — دفتر الأستاذ</v>
      </c>
      <c r="C6" s="5" t="s">
        <v>4</v>
      </c>
    </row>
    <row r="7" customFormat="false" ht="24" hidden="false" customHeight="true" outlineLevel="0" collapsed="false">
      <c r="B7" s="4" t="str">
        <f aca="false">HYPERLINK("#Balance!A1","Balance — ميزان المراجعة")</f>
        <v>Balance — ميزان المراجعة</v>
      </c>
      <c r="C7" s="5" t="s">
        <v>5</v>
      </c>
    </row>
    <row r="8" customFormat="false" ht="24" hidden="false" customHeight="true" outlineLevel="0" collapsed="false">
      <c r="B8" s="4" t="str">
        <f aca="false">HYPERLINK("#Resultat!A1","Compte de resultat — حساب النتائج")</f>
        <v>Compte de resultat — حساب النتائج</v>
      </c>
      <c r="C8" s="5" t="s">
        <v>6</v>
      </c>
    </row>
    <row r="9" customFormat="false" ht="24" hidden="false" customHeight="true" outlineLevel="0" collapsed="false">
      <c r="B9" s="4" t="str">
        <f aca="false">HYPERLINK("#Bilan!A1","Bilan — الميزانية")</f>
        <v>Bilan — الميزانية</v>
      </c>
      <c r="C9" s="5" t="s">
        <v>7</v>
      </c>
    </row>
    <row r="10" customFormat="false" ht="24" hidden="false" customHeight="true" outlineLevel="0" collapsed="false">
      <c r="B10" s="4" t="str">
        <f aca="false">HYPERLINK("#Analyse!A1","Analyse par centre — التحليل حسب المركز")</f>
        <v>Analyse par centre — التحليل حسب المركز</v>
      </c>
      <c r="C10" s="5" t="s">
        <v>8</v>
      </c>
    </row>
    <row r="11" customFormat="false" ht="24" hidden="false" customHeight="true" outlineLevel="0" collapsed="false">
      <c r="B11" s="4" t="str">
        <f aca="false">HYPERLINK("#Comptes!A1","Plan comptable — دليل الحسابات")</f>
        <v>Plan comptable — دليل الحسابات</v>
      </c>
      <c r="C11" s="5" t="s">
        <v>9</v>
      </c>
    </row>
    <row r="12" customFormat="false" ht="24" hidden="false" customHeight="true" outlineLevel="0" collapsed="false">
      <c r="B12" s="4" t="str">
        <f aca="false">HYPERLINK("#Centres!A1","Centres de cout — مراكز التكلفة")</f>
        <v>Centres de cout — مراكز التكلفة</v>
      </c>
      <c r="C12" s="5" t="s">
        <v>10</v>
      </c>
    </row>
    <row r="14" customFormat="false" ht="15" hidden="false" customHeight="false" outlineLevel="0" collapsed="false">
      <c r="B14" s="3" t="s">
        <v>11</v>
      </c>
    </row>
    <row r="15" customFormat="false" ht="15" hidden="false" customHeight="false" outlineLevel="0" collapsed="false">
      <c r="B15" s="6" t="s">
        <v>12</v>
      </c>
      <c r="C15" s="7" t="n">
        <f aca="false">Journal!H504</f>
        <v>337500</v>
      </c>
    </row>
    <row r="16" customFormat="false" ht="15" hidden="false" customHeight="false" outlineLevel="0" collapsed="false">
      <c r="B16" s="6" t="s">
        <v>13</v>
      </c>
      <c r="C16" s="7" t="n">
        <f aca="false">Journal!I504</f>
        <v>337500</v>
      </c>
    </row>
    <row r="17" customFormat="false" ht="15" hidden="false" customHeight="false" outlineLevel="0" collapsed="false">
      <c r="B17" s="6" t="s">
        <v>14</v>
      </c>
      <c r="C17" s="8" t="str">
        <f aca="false">Journal!A505</f>
        <v>Journal equilibre — الدفتر متوازن</v>
      </c>
    </row>
    <row r="18" customFormat="false" ht="15" hidden="false" customHeight="false" outlineLevel="0" collapsed="false">
      <c r="B18" s="6" t="s">
        <v>15</v>
      </c>
      <c r="C18" s="7" t="n">
        <f aca="false">Resultat!$C$18</f>
        <v>10000</v>
      </c>
    </row>
    <row r="19" customFormat="false" ht="15" hidden="false" customHeight="false" outlineLevel="0" collapsed="false">
      <c r="B19" s="6" t="s">
        <v>16</v>
      </c>
      <c r="C19" s="8" t="str">
        <f aca="false">Bilan!A12</f>
        <v>Bilan equilibre — الميزانية متوازنة</v>
      </c>
    </row>
    <row r="21" customFormat="false" ht="15" hidden="false" customHeight="false" outlineLevel="0" collapsed="false">
      <c r="B21" s="3" t="s">
        <v>17</v>
      </c>
    </row>
    <row r="22" customFormat="false" ht="15" hidden="false" customHeight="false" outlineLevel="0" collapsed="false">
      <c r="B22" s="9" t="s">
        <v>18</v>
      </c>
      <c r="C22" s="9"/>
      <c r="D22" s="9"/>
    </row>
    <row r="23" customFormat="false" ht="15" hidden="false" customHeight="false" outlineLevel="0" collapsed="false">
      <c r="B23" s="9" t="s">
        <v>19</v>
      </c>
      <c r="C23" s="9"/>
      <c r="D23" s="9"/>
    </row>
    <row r="24" customFormat="false" ht="15" hidden="false" customHeight="false" outlineLevel="0" collapsed="false">
      <c r="B24" s="9" t="s">
        <v>20</v>
      </c>
      <c r="C24" s="9"/>
      <c r="D24" s="9"/>
    </row>
    <row r="25" customFormat="false" ht="15" hidden="false" customHeight="false" outlineLevel="0" collapsed="false">
      <c r="B25" s="9" t="s">
        <v>21</v>
      </c>
      <c r="C25" s="9"/>
      <c r="D25" s="9"/>
    </row>
    <row r="26" customFormat="false" ht="15" hidden="false" customHeight="false" outlineLevel="0" collapsed="false">
      <c r="B26" s="9" t="s">
        <v>22</v>
      </c>
      <c r="C26" s="9"/>
      <c r="D26" s="9"/>
    </row>
    <row r="27" customFormat="false" ht="15" hidden="false" customHeight="false" outlineLevel="0" collapsed="false">
      <c r="B27" s="9"/>
      <c r="C27" s="9"/>
      <c r="D27" s="9"/>
    </row>
    <row r="28" customFormat="false" ht="15" hidden="false" customHeight="false" outlineLevel="0" collapsed="false">
      <c r="B28" s="10" t="s">
        <v>23</v>
      </c>
      <c r="C28" s="10"/>
      <c r="D28" s="10"/>
    </row>
    <row r="29" customFormat="false" ht="15" hidden="false" customHeight="false" outlineLevel="0" collapsed="false">
      <c r="B29" s="9"/>
      <c r="C29" s="9"/>
      <c r="D29" s="9"/>
    </row>
    <row r="30" customFormat="false" ht="15" hidden="false" customHeight="false" outlineLevel="0" collapsed="false">
      <c r="B30" s="10" t="s">
        <v>24</v>
      </c>
      <c r="C30" s="10"/>
      <c r="D30" s="10"/>
    </row>
    <row r="31" customFormat="false" ht="15" hidden="false" customHeight="false" outlineLevel="0" collapsed="false">
      <c r="B31" s="10" t="s">
        <v>25</v>
      </c>
      <c r="C31" s="10"/>
      <c r="D31" s="10"/>
    </row>
    <row r="32" customFormat="false" ht="15" hidden="false" customHeight="false" outlineLevel="0" collapsed="false">
      <c r="B32" s="10" t="s">
        <v>26</v>
      </c>
      <c r="C32" s="10"/>
      <c r="D32" s="10"/>
    </row>
  </sheetData>
  <mergeCells count="13">
    <mergeCell ref="A1:E1"/>
    <mergeCell ref="A2:E2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34"/>
    <col collapsed="false" customWidth="true" hidden="false" outlineLevel="0" max="4" min="4" style="0" width="8"/>
    <col collapsed="false" customWidth="true" hidden="false" outlineLevel="0" max="5" min="5" style="0" width="12"/>
    <col collapsed="false" customWidth="true" hidden="false" outlineLevel="0" max="6" min="6" style="0" width="30"/>
  </cols>
  <sheetData>
    <row r="1" customFormat="false" ht="30" hidden="false" customHeight="true" outlineLevel="0" collapsed="false">
      <c r="A1" s="1" t="s">
        <v>27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28</v>
      </c>
      <c r="B2" s="2"/>
      <c r="C2" s="2"/>
      <c r="D2" s="2"/>
      <c r="E2" s="2"/>
      <c r="F2" s="2"/>
    </row>
    <row r="3" customFormat="false" ht="30" hidden="false" customHeight="true" outlineLevel="0" collapsed="false">
      <c r="A3" s="11" t="s">
        <v>29</v>
      </c>
      <c r="B3" s="11" t="s">
        <v>30</v>
      </c>
      <c r="C3" s="11" t="s">
        <v>31</v>
      </c>
      <c r="D3" s="11" t="s">
        <v>32</v>
      </c>
      <c r="E3" s="11" t="s">
        <v>33</v>
      </c>
      <c r="F3" s="11" t="s">
        <v>34</v>
      </c>
    </row>
    <row r="4" customFormat="false" ht="15" hidden="false" customHeight="false" outlineLevel="0" collapsed="false">
      <c r="A4" s="12" t="s">
        <v>35</v>
      </c>
      <c r="B4" s="13" t="s">
        <v>36</v>
      </c>
      <c r="C4" s="14" t="s">
        <v>37</v>
      </c>
      <c r="D4" s="12" t="n">
        <v>1</v>
      </c>
      <c r="E4" s="13" t="s">
        <v>38</v>
      </c>
      <c r="F4" s="13" t="s">
        <v>39</v>
      </c>
    </row>
    <row r="5" customFormat="false" ht="15" hidden="false" customHeight="false" outlineLevel="0" collapsed="false">
      <c r="A5" s="12" t="s">
        <v>40</v>
      </c>
      <c r="B5" s="13" t="s">
        <v>41</v>
      </c>
      <c r="C5" s="14" t="s">
        <v>42</v>
      </c>
      <c r="D5" s="12" t="n">
        <v>1</v>
      </c>
      <c r="E5" s="13" t="s">
        <v>38</v>
      </c>
      <c r="F5" s="13" t="s">
        <v>39</v>
      </c>
    </row>
    <row r="6" customFormat="false" ht="15" hidden="false" customHeight="false" outlineLevel="0" collapsed="false">
      <c r="A6" s="12" t="s">
        <v>43</v>
      </c>
      <c r="B6" s="13" t="s">
        <v>44</v>
      </c>
      <c r="C6" s="14" t="s">
        <v>45</v>
      </c>
      <c r="D6" s="12" t="n">
        <v>1</v>
      </c>
      <c r="E6" s="13" t="s">
        <v>38</v>
      </c>
      <c r="F6" s="13" t="s">
        <v>39</v>
      </c>
    </row>
    <row r="7" customFormat="false" ht="15" hidden="false" customHeight="false" outlineLevel="0" collapsed="false">
      <c r="A7" s="12" t="s">
        <v>46</v>
      </c>
      <c r="B7" s="13" t="s">
        <v>47</v>
      </c>
      <c r="C7" s="14" t="s">
        <v>48</v>
      </c>
      <c r="D7" s="12" t="n">
        <v>1</v>
      </c>
      <c r="E7" s="13" t="s">
        <v>38</v>
      </c>
      <c r="F7" s="13" t="s">
        <v>49</v>
      </c>
    </row>
    <row r="8" customFormat="false" ht="15" hidden="false" customHeight="false" outlineLevel="0" collapsed="false">
      <c r="A8" s="12" t="s">
        <v>50</v>
      </c>
      <c r="B8" s="13" t="s">
        <v>51</v>
      </c>
      <c r="C8" s="14" t="s">
        <v>52</v>
      </c>
      <c r="D8" s="12" t="n">
        <v>2</v>
      </c>
      <c r="E8" s="13" t="s">
        <v>53</v>
      </c>
      <c r="F8" s="13" t="s">
        <v>54</v>
      </c>
    </row>
    <row r="9" customFormat="false" ht="15" hidden="false" customHeight="false" outlineLevel="0" collapsed="false">
      <c r="A9" s="12" t="s">
        <v>55</v>
      </c>
      <c r="B9" s="13" t="s">
        <v>56</v>
      </c>
      <c r="C9" s="14" t="s">
        <v>57</v>
      </c>
      <c r="D9" s="12" t="n">
        <v>2</v>
      </c>
      <c r="E9" s="13" t="s">
        <v>53</v>
      </c>
      <c r="F9" s="13" t="s">
        <v>54</v>
      </c>
    </row>
    <row r="10" customFormat="false" ht="15" hidden="false" customHeight="false" outlineLevel="0" collapsed="false">
      <c r="A10" s="12" t="s">
        <v>58</v>
      </c>
      <c r="B10" s="13" t="s">
        <v>59</v>
      </c>
      <c r="C10" s="14" t="s">
        <v>60</v>
      </c>
      <c r="D10" s="12" t="n">
        <v>2</v>
      </c>
      <c r="E10" s="13" t="s">
        <v>53</v>
      </c>
      <c r="F10" s="13" t="s">
        <v>54</v>
      </c>
    </row>
    <row r="11" customFormat="false" ht="15" hidden="false" customHeight="false" outlineLevel="0" collapsed="false">
      <c r="A11" s="12" t="s">
        <v>61</v>
      </c>
      <c r="B11" s="13" t="s">
        <v>62</v>
      </c>
      <c r="C11" s="14" t="s">
        <v>63</v>
      </c>
      <c r="D11" s="12" t="n">
        <v>2</v>
      </c>
      <c r="E11" s="13" t="s">
        <v>53</v>
      </c>
      <c r="F11" s="13" t="s">
        <v>54</v>
      </c>
    </row>
    <row r="12" customFormat="false" ht="15" hidden="false" customHeight="false" outlineLevel="0" collapsed="false">
      <c r="A12" s="12" t="s">
        <v>64</v>
      </c>
      <c r="B12" s="13" t="s">
        <v>65</v>
      </c>
      <c r="C12" s="14" t="s">
        <v>66</v>
      </c>
      <c r="D12" s="12" t="n">
        <v>2</v>
      </c>
      <c r="E12" s="13" t="s">
        <v>53</v>
      </c>
      <c r="F12" s="13" t="s">
        <v>54</v>
      </c>
    </row>
    <row r="13" customFormat="false" ht="15" hidden="false" customHeight="false" outlineLevel="0" collapsed="false">
      <c r="A13" s="12" t="s">
        <v>67</v>
      </c>
      <c r="B13" s="13" t="s">
        <v>68</v>
      </c>
      <c r="C13" s="14" t="s">
        <v>69</v>
      </c>
      <c r="D13" s="12" t="n">
        <v>3</v>
      </c>
      <c r="E13" s="13" t="s">
        <v>53</v>
      </c>
      <c r="F13" s="13" t="s">
        <v>70</v>
      </c>
    </row>
    <row r="14" customFormat="false" ht="15" hidden="false" customHeight="false" outlineLevel="0" collapsed="false">
      <c r="A14" s="12" t="s">
        <v>71</v>
      </c>
      <c r="B14" s="13" t="s">
        <v>72</v>
      </c>
      <c r="C14" s="14" t="s">
        <v>73</v>
      </c>
      <c r="D14" s="12" t="n">
        <v>3</v>
      </c>
      <c r="E14" s="13" t="s">
        <v>53</v>
      </c>
      <c r="F14" s="13" t="s">
        <v>70</v>
      </c>
    </row>
    <row r="15" customFormat="false" ht="15" hidden="false" customHeight="false" outlineLevel="0" collapsed="false">
      <c r="A15" s="12" t="s">
        <v>74</v>
      </c>
      <c r="B15" s="13" t="s">
        <v>75</v>
      </c>
      <c r="C15" s="14" t="s">
        <v>76</v>
      </c>
      <c r="D15" s="12" t="n">
        <v>3</v>
      </c>
      <c r="E15" s="13" t="s">
        <v>53</v>
      </c>
      <c r="F15" s="13" t="s">
        <v>70</v>
      </c>
    </row>
    <row r="16" customFormat="false" ht="15" hidden="false" customHeight="false" outlineLevel="0" collapsed="false">
      <c r="A16" s="12" t="s">
        <v>77</v>
      </c>
      <c r="B16" s="13" t="s">
        <v>78</v>
      </c>
      <c r="C16" s="14" t="s">
        <v>79</v>
      </c>
      <c r="D16" s="12" t="n">
        <v>4</v>
      </c>
      <c r="E16" s="13" t="s">
        <v>38</v>
      </c>
      <c r="F16" s="13" t="s">
        <v>80</v>
      </c>
    </row>
    <row r="17" customFormat="false" ht="15" hidden="false" customHeight="false" outlineLevel="0" collapsed="false">
      <c r="A17" s="12" t="s">
        <v>81</v>
      </c>
      <c r="B17" s="13" t="s">
        <v>82</v>
      </c>
      <c r="C17" s="14" t="s">
        <v>83</v>
      </c>
      <c r="D17" s="12" t="n">
        <v>4</v>
      </c>
      <c r="E17" s="13" t="s">
        <v>38</v>
      </c>
      <c r="F17" s="13" t="s">
        <v>80</v>
      </c>
    </row>
    <row r="18" customFormat="false" ht="15" hidden="false" customHeight="false" outlineLevel="0" collapsed="false">
      <c r="A18" s="12" t="s">
        <v>84</v>
      </c>
      <c r="B18" s="13" t="s">
        <v>85</v>
      </c>
      <c r="C18" s="14" t="s">
        <v>86</v>
      </c>
      <c r="D18" s="12" t="n">
        <v>4</v>
      </c>
      <c r="E18" s="13" t="s">
        <v>53</v>
      </c>
      <c r="F18" s="13" t="s">
        <v>87</v>
      </c>
    </row>
    <row r="19" customFormat="false" ht="15" hidden="false" customHeight="false" outlineLevel="0" collapsed="false">
      <c r="A19" s="12" t="s">
        <v>88</v>
      </c>
      <c r="B19" s="13" t="s">
        <v>89</v>
      </c>
      <c r="C19" s="14" t="s">
        <v>90</v>
      </c>
      <c r="D19" s="12" t="n">
        <v>4</v>
      </c>
      <c r="E19" s="13" t="s">
        <v>38</v>
      </c>
      <c r="F19" s="13" t="s">
        <v>91</v>
      </c>
    </row>
    <row r="20" customFormat="false" ht="15" hidden="false" customHeight="false" outlineLevel="0" collapsed="false">
      <c r="A20" s="12" t="s">
        <v>92</v>
      </c>
      <c r="B20" s="13" t="s">
        <v>93</v>
      </c>
      <c r="C20" s="14" t="s">
        <v>94</v>
      </c>
      <c r="D20" s="12" t="n">
        <v>4</v>
      </c>
      <c r="E20" s="13" t="s">
        <v>38</v>
      </c>
      <c r="F20" s="13" t="s">
        <v>95</v>
      </c>
    </row>
    <row r="21" customFormat="false" ht="15" hidden="false" customHeight="false" outlineLevel="0" collapsed="false">
      <c r="A21" s="12" t="s">
        <v>96</v>
      </c>
      <c r="B21" s="13" t="s">
        <v>97</v>
      </c>
      <c r="C21" s="14" t="s">
        <v>98</v>
      </c>
      <c r="D21" s="12" t="n">
        <v>4</v>
      </c>
      <c r="E21" s="13" t="s">
        <v>38</v>
      </c>
      <c r="F21" s="13" t="s">
        <v>95</v>
      </c>
    </row>
    <row r="22" customFormat="false" ht="15" hidden="false" customHeight="false" outlineLevel="0" collapsed="false">
      <c r="A22" s="12" t="s">
        <v>99</v>
      </c>
      <c r="B22" s="13" t="s">
        <v>100</v>
      </c>
      <c r="C22" s="14" t="s">
        <v>101</v>
      </c>
      <c r="D22" s="12" t="n">
        <v>4</v>
      </c>
      <c r="E22" s="13" t="s">
        <v>38</v>
      </c>
      <c r="F22" s="13" t="s">
        <v>95</v>
      </c>
    </row>
    <row r="23" customFormat="false" ht="15" hidden="false" customHeight="false" outlineLevel="0" collapsed="false">
      <c r="A23" s="12" t="s">
        <v>102</v>
      </c>
      <c r="B23" s="13" t="s">
        <v>103</v>
      </c>
      <c r="C23" s="14" t="s">
        <v>104</v>
      </c>
      <c r="D23" s="12" t="n">
        <v>4</v>
      </c>
      <c r="E23" s="13" t="s">
        <v>53</v>
      </c>
      <c r="F23" s="13" t="s">
        <v>87</v>
      </c>
    </row>
    <row r="24" customFormat="false" ht="15" hidden="false" customHeight="false" outlineLevel="0" collapsed="false">
      <c r="A24" s="12" t="s">
        <v>105</v>
      </c>
      <c r="B24" s="13" t="s">
        <v>106</v>
      </c>
      <c r="C24" s="14" t="s">
        <v>107</v>
      </c>
      <c r="D24" s="12" t="n">
        <v>4</v>
      </c>
      <c r="E24" s="13" t="s">
        <v>38</v>
      </c>
      <c r="F24" s="13" t="s">
        <v>95</v>
      </c>
    </row>
    <row r="25" customFormat="false" ht="15" hidden="false" customHeight="false" outlineLevel="0" collapsed="false">
      <c r="A25" s="12" t="s">
        <v>108</v>
      </c>
      <c r="B25" s="13" t="s">
        <v>109</v>
      </c>
      <c r="C25" s="14" t="s">
        <v>110</v>
      </c>
      <c r="D25" s="12" t="n">
        <v>5</v>
      </c>
      <c r="E25" s="13" t="s">
        <v>53</v>
      </c>
      <c r="F25" s="13" t="s">
        <v>111</v>
      </c>
    </row>
    <row r="26" customFormat="false" ht="15" hidden="false" customHeight="false" outlineLevel="0" collapsed="false">
      <c r="A26" s="12" t="s">
        <v>112</v>
      </c>
      <c r="B26" s="13" t="s">
        <v>113</v>
      </c>
      <c r="C26" s="14" t="s">
        <v>114</v>
      </c>
      <c r="D26" s="12" t="n">
        <v>5</v>
      </c>
      <c r="E26" s="13" t="s">
        <v>53</v>
      </c>
      <c r="F26" s="13" t="s">
        <v>111</v>
      </c>
    </row>
    <row r="27" customFormat="false" ht="15" hidden="false" customHeight="false" outlineLevel="0" collapsed="false">
      <c r="A27" s="15" t="s">
        <v>115</v>
      </c>
      <c r="B27" s="16" t="s">
        <v>116</v>
      </c>
      <c r="C27" s="17" t="s">
        <v>117</v>
      </c>
      <c r="D27" s="15" t="n">
        <v>6</v>
      </c>
      <c r="E27" s="16" t="s">
        <v>118</v>
      </c>
      <c r="F27" s="16" t="s">
        <v>119</v>
      </c>
    </row>
    <row r="28" customFormat="false" ht="15" hidden="false" customHeight="false" outlineLevel="0" collapsed="false">
      <c r="A28" s="15" t="s">
        <v>120</v>
      </c>
      <c r="B28" s="16" t="s">
        <v>121</v>
      </c>
      <c r="C28" s="17" t="s">
        <v>122</v>
      </c>
      <c r="D28" s="15" t="n">
        <v>6</v>
      </c>
      <c r="E28" s="16" t="s">
        <v>118</v>
      </c>
      <c r="F28" s="16" t="s">
        <v>119</v>
      </c>
    </row>
    <row r="29" customFormat="false" ht="15" hidden="false" customHeight="false" outlineLevel="0" collapsed="false">
      <c r="A29" s="15" t="s">
        <v>123</v>
      </c>
      <c r="B29" s="16" t="s">
        <v>124</v>
      </c>
      <c r="C29" s="17" t="s">
        <v>125</v>
      </c>
      <c r="D29" s="15" t="n">
        <v>6</v>
      </c>
      <c r="E29" s="16" t="s">
        <v>118</v>
      </c>
      <c r="F29" s="16" t="s">
        <v>119</v>
      </c>
    </row>
    <row r="30" customFormat="false" ht="15" hidden="false" customHeight="false" outlineLevel="0" collapsed="false">
      <c r="A30" s="15" t="s">
        <v>126</v>
      </c>
      <c r="B30" s="16" t="s">
        <v>127</v>
      </c>
      <c r="C30" s="17" t="s">
        <v>128</v>
      </c>
      <c r="D30" s="15" t="n">
        <v>6</v>
      </c>
      <c r="E30" s="16" t="s">
        <v>118</v>
      </c>
      <c r="F30" s="16" t="s">
        <v>129</v>
      </c>
    </row>
    <row r="31" customFormat="false" ht="15" hidden="false" customHeight="false" outlineLevel="0" collapsed="false">
      <c r="A31" s="15" t="s">
        <v>130</v>
      </c>
      <c r="B31" s="16" t="s">
        <v>131</v>
      </c>
      <c r="C31" s="17" t="s">
        <v>132</v>
      </c>
      <c r="D31" s="15" t="n">
        <v>6</v>
      </c>
      <c r="E31" s="16" t="s">
        <v>118</v>
      </c>
      <c r="F31" s="16" t="s">
        <v>129</v>
      </c>
    </row>
    <row r="32" customFormat="false" ht="15" hidden="false" customHeight="false" outlineLevel="0" collapsed="false">
      <c r="A32" s="15" t="s">
        <v>133</v>
      </c>
      <c r="B32" s="16" t="s">
        <v>134</v>
      </c>
      <c r="C32" s="17" t="s">
        <v>135</v>
      </c>
      <c r="D32" s="15" t="n">
        <v>6</v>
      </c>
      <c r="E32" s="16" t="s">
        <v>118</v>
      </c>
      <c r="F32" s="16" t="s">
        <v>129</v>
      </c>
    </row>
    <row r="33" customFormat="false" ht="15" hidden="false" customHeight="false" outlineLevel="0" collapsed="false">
      <c r="A33" s="15" t="s">
        <v>136</v>
      </c>
      <c r="B33" s="16" t="s">
        <v>137</v>
      </c>
      <c r="C33" s="17" t="s">
        <v>138</v>
      </c>
      <c r="D33" s="15" t="n">
        <v>6</v>
      </c>
      <c r="E33" s="16" t="s">
        <v>118</v>
      </c>
      <c r="F33" s="16" t="s">
        <v>129</v>
      </c>
    </row>
    <row r="34" customFormat="false" ht="15" hidden="false" customHeight="false" outlineLevel="0" collapsed="false">
      <c r="A34" s="15" t="s">
        <v>139</v>
      </c>
      <c r="B34" s="16" t="s">
        <v>140</v>
      </c>
      <c r="C34" s="17" t="s">
        <v>141</v>
      </c>
      <c r="D34" s="15" t="n">
        <v>6</v>
      </c>
      <c r="E34" s="16" t="s">
        <v>118</v>
      </c>
      <c r="F34" s="16" t="s">
        <v>129</v>
      </c>
    </row>
    <row r="35" customFormat="false" ht="15" hidden="false" customHeight="false" outlineLevel="0" collapsed="false">
      <c r="A35" s="15" t="s">
        <v>142</v>
      </c>
      <c r="B35" s="16" t="s">
        <v>143</v>
      </c>
      <c r="C35" s="17" t="s">
        <v>144</v>
      </c>
      <c r="D35" s="15" t="n">
        <v>6</v>
      </c>
      <c r="E35" s="16" t="s">
        <v>118</v>
      </c>
      <c r="F35" s="16" t="s">
        <v>129</v>
      </c>
    </row>
    <row r="36" customFormat="false" ht="15" hidden="false" customHeight="false" outlineLevel="0" collapsed="false">
      <c r="A36" s="15" t="s">
        <v>145</v>
      </c>
      <c r="B36" s="16" t="s">
        <v>146</v>
      </c>
      <c r="C36" s="17" t="s">
        <v>147</v>
      </c>
      <c r="D36" s="15" t="n">
        <v>6</v>
      </c>
      <c r="E36" s="16" t="s">
        <v>118</v>
      </c>
      <c r="F36" s="16" t="s">
        <v>129</v>
      </c>
    </row>
    <row r="37" customFormat="false" ht="15" hidden="false" customHeight="false" outlineLevel="0" collapsed="false">
      <c r="A37" s="15" t="s">
        <v>148</v>
      </c>
      <c r="B37" s="16" t="s">
        <v>149</v>
      </c>
      <c r="C37" s="17" t="s">
        <v>150</v>
      </c>
      <c r="D37" s="15" t="n">
        <v>6</v>
      </c>
      <c r="E37" s="16" t="s">
        <v>118</v>
      </c>
      <c r="F37" s="16" t="s">
        <v>129</v>
      </c>
    </row>
    <row r="38" customFormat="false" ht="15" hidden="false" customHeight="false" outlineLevel="0" collapsed="false">
      <c r="A38" s="15" t="s">
        <v>151</v>
      </c>
      <c r="B38" s="16" t="s">
        <v>152</v>
      </c>
      <c r="C38" s="17" t="s">
        <v>153</v>
      </c>
      <c r="D38" s="15" t="n">
        <v>6</v>
      </c>
      <c r="E38" s="16" t="s">
        <v>118</v>
      </c>
      <c r="F38" s="16" t="s">
        <v>154</v>
      </c>
    </row>
    <row r="39" customFormat="false" ht="15" hidden="false" customHeight="false" outlineLevel="0" collapsed="false">
      <c r="A39" s="15" t="s">
        <v>155</v>
      </c>
      <c r="B39" s="16" t="s">
        <v>156</v>
      </c>
      <c r="C39" s="17" t="s">
        <v>157</v>
      </c>
      <c r="D39" s="15" t="n">
        <v>6</v>
      </c>
      <c r="E39" s="16" t="s">
        <v>118</v>
      </c>
      <c r="F39" s="16" t="s">
        <v>154</v>
      </c>
    </row>
    <row r="40" customFormat="false" ht="15" hidden="false" customHeight="false" outlineLevel="0" collapsed="false">
      <c r="A40" s="15" t="s">
        <v>158</v>
      </c>
      <c r="B40" s="16" t="s">
        <v>159</v>
      </c>
      <c r="C40" s="17" t="s">
        <v>160</v>
      </c>
      <c r="D40" s="15" t="n">
        <v>6</v>
      </c>
      <c r="E40" s="16" t="s">
        <v>118</v>
      </c>
      <c r="F40" s="16" t="s">
        <v>161</v>
      </c>
    </row>
    <row r="41" customFormat="false" ht="15" hidden="false" customHeight="false" outlineLevel="0" collapsed="false">
      <c r="A41" s="15" t="s">
        <v>162</v>
      </c>
      <c r="B41" s="16" t="s">
        <v>163</v>
      </c>
      <c r="C41" s="17" t="s">
        <v>164</v>
      </c>
      <c r="D41" s="15" t="n">
        <v>6</v>
      </c>
      <c r="E41" s="16" t="s">
        <v>118</v>
      </c>
      <c r="F41" s="16" t="s">
        <v>161</v>
      </c>
    </row>
    <row r="42" customFormat="false" ht="15" hidden="false" customHeight="false" outlineLevel="0" collapsed="false">
      <c r="A42" s="15" t="s">
        <v>165</v>
      </c>
      <c r="B42" s="16" t="s">
        <v>166</v>
      </c>
      <c r="C42" s="17" t="s">
        <v>167</v>
      </c>
      <c r="D42" s="15" t="n">
        <v>6</v>
      </c>
      <c r="E42" s="16" t="s">
        <v>118</v>
      </c>
      <c r="F42" s="16" t="s">
        <v>168</v>
      </c>
    </row>
    <row r="43" customFormat="false" ht="15" hidden="false" customHeight="false" outlineLevel="0" collapsed="false">
      <c r="A43" s="15" t="s">
        <v>169</v>
      </c>
      <c r="B43" s="16" t="s">
        <v>170</v>
      </c>
      <c r="C43" s="17" t="s">
        <v>171</v>
      </c>
      <c r="D43" s="15" t="n">
        <v>6</v>
      </c>
      <c r="E43" s="16" t="s">
        <v>118</v>
      </c>
      <c r="F43" s="16" t="s">
        <v>172</v>
      </c>
    </row>
    <row r="44" customFormat="false" ht="15" hidden="false" customHeight="false" outlineLevel="0" collapsed="false">
      <c r="A44" s="15" t="s">
        <v>173</v>
      </c>
      <c r="B44" s="16" t="s">
        <v>174</v>
      </c>
      <c r="C44" s="17" t="s">
        <v>175</v>
      </c>
      <c r="D44" s="15" t="n">
        <v>6</v>
      </c>
      <c r="E44" s="16" t="s">
        <v>118</v>
      </c>
      <c r="F44" s="16" t="s">
        <v>176</v>
      </c>
    </row>
    <row r="45" customFormat="false" ht="15" hidden="false" customHeight="false" outlineLevel="0" collapsed="false">
      <c r="A45" s="15" t="s">
        <v>177</v>
      </c>
      <c r="B45" s="16" t="s">
        <v>178</v>
      </c>
      <c r="C45" s="17" t="s">
        <v>179</v>
      </c>
      <c r="D45" s="15" t="n">
        <v>7</v>
      </c>
      <c r="E45" s="16" t="s">
        <v>180</v>
      </c>
      <c r="F45" s="16" t="s">
        <v>181</v>
      </c>
    </row>
    <row r="46" customFormat="false" ht="15" hidden="false" customHeight="false" outlineLevel="0" collapsed="false">
      <c r="A46" s="15" t="s">
        <v>182</v>
      </c>
      <c r="B46" s="16" t="s">
        <v>183</v>
      </c>
      <c r="C46" s="17" t="s">
        <v>184</v>
      </c>
      <c r="D46" s="15" t="n">
        <v>7</v>
      </c>
      <c r="E46" s="16" t="s">
        <v>180</v>
      </c>
      <c r="F46" s="16" t="s">
        <v>181</v>
      </c>
    </row>
    <row r="47" customFormat="false" ht="15" hidden="false" customHeight="false" outlineLevel="0" collapsed="false">
      <c r="A47" s="15" t="s">
        <v>185</v>
      </c>
      <c r="B47" s="16" t="s">
        <v>186</v>
      </c>
      <c r="C47" s="17" t="s">
        <v>187</v>
      </c>
      <c r="D47" s="15" t="n">
        <v>7</v>
      </c>
      <c r="E47" s="16" t="s">
        <v>180</v>
      </c>
      <c r="F47" s="16" t="s">
        <v>181</v>
      </c>
    </row>
    <row r="48" customFormat="false" ht="15" hidden="false" customHeight="false" outlineLevel="0" collapsed="false">
      <c r="A48" s="15" t="s">
        <v>188</v>
      </c>
      <c r="B48" s="16" t="s">
        <v>189</v>
      </c>
      <c r="C48" s="17" t="s">
        <v>190</v>
      </c>
      <c r="D48" s="15" t="n">
        <v>7</v>
      </c>
      <c r="E48" s="16" t="s">
        <v>180</v>
      </c>
      <c r="F48" s="16" t="s">
        <v>181</v>
      </c>
    </row>
    <row r="49" customFormat="false" ht="15" hidden="false" customHeight="false" outlineLevel="0" collapsed="false">
      <c r="A49" s="15" t="s">
        <v>191</v>
      </c>
      <c r="B49" s="16" t="s">
        <v>192</v>
      </c>
      <c r="C49" s="17" t="s">
        <v>193</v>
      </c>
      <c r="D49" s="15" t="n">
        <v>7</v>
      </c>
      <c r="E49" s="16" t="s">
        <v>180</v>
      </c>
      <c r="F49" s="16" t="s">
        <v>192</v>
      </c>
    </row>
    <row r="50" customFormat="false" ht="15" hidden="false" customHeight="false" outlineLevel="0" collapsed="false">
      <c r="A50" s="15" t="s">
        <v>194</v>
      </c>
      <c r="B50" s="16" t="s">
        <v>195</v>
      </c>
      <c r="C50" s="17" t="s">
        <v>196</v>
      </c>
      <c r="D50" s="15" t="n">
        <v>7</v>
      </c>
      <c r="E50" s="16" t="s">
        <v>180</v>
      </c>
      <c r="F50" s="16" t="s">
        <v>197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0"/>
    <col collapsed="false" customWidth="true" hidden="false" outlineLevel="0" max="3" min="3" style="0" width="32"/>
  </cols>
  <sheetData>
    <row r="1" customFormat="false" ht="30" hidden="false" customHeight="true" outlineLevel="0" collapsed="false">
      <c r="A1" s="1" t="s">
        <v>198</v>
      </c>
      <c r="B1" s="1"/>
      <c r="C1" s="1"/>
    </row>
    <row r="2" customFormat="false" ht="15" hidden="false" customHeight="false" outlineLevel="0" collapsed="false">
      <c r="A2" s="2" t="s">
        <v>199</v>
      </c>
      <c r="B2" s="2"/>
      <c r="C2" s="2"/>
    </row>
    <row r="3" customFormat="false" ht="30" hidden="false" customHeight="true" outlineLevel="0" collapsed="false">
      <c r="A3" s="11" t="s">
        <v>200</v>
      </c>
      <c r="B3" s="11" t="s">
        <v>30</v>
      </c>
      <c r="C3" s="11" t="s">
        <v>31</v>
      </c>
    </row>
    <row r="4" customFormat="false" ht="15" hidden="false" customHeight="false" outlineLevel="0" collapsed="false">
      <c r="A4" s="13" t="s">
        <v>201</v>
      </c>
      <c r="B4" s="13" t="s">
        <v>202</v>
      </c>
      <c r="C4" s="14" t="s">
        <v>203</v>
      </c>
    </row>
    <row r="5" customFormat="false" ht="15" hidden="false" customHeight="false" outlineLevel="0" collapsed="false">
      <c r="A5" s="13" t="s">
        <v>204</v>
      </c>
      <c r="B5" s="13" t="s">
        <v>205</v>
      </c>
      <c r="C5" s="14" t="s">
        <v>206</v>
      </c>
    </row>
    <row r="6" customFormat="false" ht="15" hidden="false" customHeight="false" outlineLevel="0" collapsed="false">
      <c r="A6" s="13" t="s">
        <v>207</v>
      </c>
      <c r="B6" s="13" t="s">
        <v>208</v>
      </c>
      <c r="C6" s="14" t="s">
        <v>209</v>
      </c>
    </row>
    <row r="7" customFormat="false" ht="15" hidden="false" customHeight="false" outlineLevel="0" collapsed="false">
      <c r="A7" s="13" t="s">
        <v>210</v>
      </c>
      <c r="B7" s="13" t="s">
        <v>211</v>
      </c>
      <c r="C7" s="14" t="s">
        <v>212</v>
      </c>
    </row>
    <row r="8" customFormat="false" ht="15" hidden="false" customHeight="false" outlineLevel="0" collapsed="false">
      <c r="A8" s="13" t="s">
        <v>213</v>
      </c>
      <c r="B8" s="13" t="s">
        <v>214</v>
      </c>
      <c r="C8" s="14" t="s">
        <v>144</v>
      </c>
    </row>
    <row r="9" customFormat="false" ht="15" hidden="false" customHeight="false" outlineLevel="0" collapsed="false">
      <c r="A9" s="18"/>
      <c r="B9" s="18"/>
      <c r="C9" s="18"/>
    </row>
    <row r="10" customFormat="false" ht="15" hidden="false" customHeight="false" outlineLevel="0" collapsed="false">
      <c r="A10" s="18"/>
      <c r="B10" s="18"/>
      <c r="C10" s="18"/>
    </row>
    <row r="11" customFormat="false" ht="15" hidden="false" customHeight="false" outlineLevel="0" collapsed="false">
      <c r="A11" s="18"/>
      <c r="B11" s="18"/>
      <c r="C11" s="18"/>
    </row>
    <row r="12" customFormat="false" ht="15" hidden="false" customHeight="false" outlineLevel="0" collapsed="false">
      <c r="A12" s="18"/>
      <c r="B12" s="18"/>
      <c r="C12" s="18"/>
    </row>
    <row r="13" customFormat="false" ht="15" hidden="false" customHeight="false" outlineLevel="0" collapsed="false">
      <c r="A13" s="18"/>
      <c r="B13" s="18"/>
      <c r="C13" s="18"/>
    </row>
    <row r="14" customFormat="false" ht="15" hidden="false" customHeight="false" outlineLevel="0" collapsed="false">
      <c r="A14" s="18"/>
      <c r="B14" s="18"/>
      <c r="C14" s="18"/>
    </row>
    <row r="15" customFormat="false" ht="15" hidden="false" customHeight="false" outlineLevel="0" collapsed="false">
      <c r="A15" s="18"/>
      <c r="B15" s="18"/>
      <c r="C15" s="18"/>
    </row>
    <row r="16" customFormat="false" ht="15" hidden="false" customHeight="false" outlineLevel="0" collapsed="false">
      <c r="A16" s="18"/>
      <c r="B16" s="18"/>
      <c r="C16" s="18"/>
    </row>
    <row r="17" customFormat="false" ht="15" hidden="false" customHeight="false" outlineLevel="0" collapsed="false">
      <c r="A17" s="18"/>
      <c r="B17" s="18"/>
      <c r="C17" s="18"/>
    </row>
    <row r="18" customFormat="false" ht="15" hidden="false" customHeight="false" outlineLevel="0" collapsed="false">
      <c r="A18" s="18"/>
      <c r="B18" s="18"/>
      <c r="C18" s="18"/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34"/>
    <col collapsed="false" customWidth="true" hidden="false" outlineLevel="0" max="6" min="6" style="0" width="40"/>
    <col collapsed="false" customWidth="true" hidden="false" outlineLevel="0" max="7" min="7" style="0" width="10"/>
    <col collapsed="false" customWidth="true" hidden="false" outlineLevel="0" max="9" min="8" style="0" width="15"/>
  </cols>
  <sheetData>
    <row r="1" customFormat="false" ht="30" hidden="false" customHeight="true" outlineLevel="0" collapsed="false">
      <c r="A1" s="1" t="s">
        <v>215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216</v>
      </c>
      <c r="B2" s="2"/>
      <c r="C2" s="2"/>
      <c r="D2" s="2"/>
      <c r="E2" s="2"/>
      <c r="F2" s="2"/>
      <c r="G2" s="2"/>
      <c r="H2" s="2"/>
      <c r="I2" s="2"/>
    </row>
    <row r="3" customFormat="false" ht="30" hidden="false" customHeight="true" outlineLevel="0" collapsed="false">
      <c r="A3" s="11" t="s">
        <v>217</v>
      </c>
      <c r="B3" s="11" t="s">
        <v>218</v>
      </c>
      <c r="C3" s="11" t="s">
        <v>219</v>
      </c>
      <c r="D3" s="11" t="s">
        <v>29</v>
      </c>
      <c r="E3" s="11" t="s">
        <v>220</v>
      </c>
      <c r="F3" s="11" t="s">
        <v>221</v>
      </c>
      <c r="G3" s="11" t="s">
        <v>222</v>
      </c>
      <c r="H3" s="11" t="s">
        <v>223</v>
      </c>
      <c r="I3" s="11" t="s">
        <v>224</v>
      </c>
    </row>
    <row r="4" customFormat="false" ht="15" hidden="false" customHeight="false" outlineLevel="0" collapsed="false">
      <c r="A4" s="19" t="n">
        <f aca="false">IF(OR(H4&lt;&gt;"",I4&lt;&gt;""),ROW()-3,"")</f>
        <v>1</v>
      </c>
      <c r="B4" s="20" t="s">
        <v>225</v>
      </c>
      <c r="C4" s="18" t="s">
        <v>226</v>
      </c>
      <c r="D4" s="21" t="s">
        <v>84</v>
      </c>
      <c r="E4" s="22" t="str">
        <f aca="false">IFERROR(INDEX(Comptes!$B$4:$B$50,MATCH($D4,Comptes!$A$4:$A$50,0)),"")</f>
        <v>Clients</v>
      </c>
      <c r="F4" s="18" t="s">
        <v>227</v>
      </c>
      <c r="G4" s="21" t="s">
        <v>204</v>
      </c>
      <c r="H4" s="23" t="n">
        <v>119000</v>
      </c>
      <c r="I4" s="23"/>
    </row>
    <row r="5" customFormat="false" ht="15" hidden="false" customHeight="false" outlineLevel="0" collapsed="false">
      <c r="A5" s="19" t="n">
        <f aca="false">IF(OR(H5&lt;&gt;"",I5&lt;&gt;""),ROW()-3,"")</f>
        <v>2</v>
      </c>
      <c r="B5" s="20" t="s">
        <v>225</v>
      </c>
      <c r="C5" s="18" t="s">
        <v>226</v>
      </c>
      <c r="D5" s="21" t="s">
        <v>177</v>
      </c>
      <c r="E5" s="22" t="str">
        <f aca="false">IFERROR(INDEX(Comptes!$B$4:$B$50,MATCH($D5,Comptes!$A$4:$A$50,0)),"")</f>
        <v>Ventes de marchandises</v>
      </c>
      <c r="F5" s="18" t="s">
        <v>227</v>
      </c>
      <c r="G5" s="21" t="s">
        <v>204</v>
      </c>
      <c r="H5" s="23"/>
      <c r="I5" s="23" t="n">
        <v>100000</v>
      </c>
    </row>
    <row r="6" customFormat="false" ht="15" hidden="false" customHeight="false" outlineLevel="0" collapsed="false">
      <c r="A6" s="19" t="n">
        <f aca="false">IF(OR(H6&lt;&gt;"",I6&lt;&gt;""),ROW()-3,"")</f>
        <v>3</v>
      </c>
      <c r="B6" s="20" t="s">
        <v>225</v>
      </c>
      <c r="C6" s="18" t="s">
        <v>226</v>
      </c>
      <c r="D6" s="21" t="s">
        <v>105</v>
      </c>
      <c r="E6" s="22" t="str">
        <f aca="false">IFERROR(INDEX(Comptes!$B$4:$B$50,MATCH($D6,Comptes!$A$4:$A$50,0)),"")</f>
        <v>TVA collectee</v>
      </c>
      <c r="F6" s="18" t="s">
        <v>228</v>
      </c>
      <c r="G6" s="21" t="s">
        <v>204</v>
      </c>
      <c r="H6" s="23"/>
      <c r="I6" s="23" t="n">
        <v>19000</v>
      </c>
    </row>
    <row r="7" customFormat="false" ht="15" hidden="false" customHeight="false" outlineLevel="0" collapsed="false">
      <c r="A7" s="19" t="n">
        <f aca="false">IF(OR(H7&lt;&gt;"",I7&lt;&gt;""),ROW()-3,"")</f>
        <v>4</v>
      </c>
      <c r="B7" s="20" t="s">
        <v>229</v>
      </c>
      <c r="C7" s="18" t="s">
        <v>230</v>
      </c>
      <c r="D7" s="21" t="s">
        <v>108</v>
      </c>
      <c r="E7" s="22" t="str">
        <f aca="false">IFERROR(INDEX(Comptes!$B$4:$B$50,MATCH($D7,Comptes!$A$4:$A$50,0)),"")</f>
        <v>Banque</v>
      </c>
      <c r="F7" s="18" t="s">
        <v>231</v>
      </c>
      <c r="G7" s="21" t="s">
        <v>201</v>
      </c>
      <c r="H7" s="23" t="n">
        <v>119000</v>
      </c>
      <c r="I7" s="23"/>
    </row>
    <row r="8" customFormat="false" ht="15" hidden="false" customHeight="false" outlineLevel="0" collapsed="false">
      <c r="A8" s="19" t="n">
        <f aca="false">IF(OR(H8&lt;&gt;"",I8&lt;&gt;""),ROW()-3,"")</f>
        <v>5</v>
      </c>
      <c r="B8" s="20" t="s">
        <v>229</v>
      </c>
      <c r="C8" s="18" t="s">
        <v>230</v>
      </c>
      <c r="D8" s="21" t="s">
        <v>84</v>
      </c>
      <c r="E8" s="22" t="str">
        <f aca="false">IFERROR(INDEX(Comptes!$B$4:$B$50,MATCH($D8,Comptes!$A$4:$A$50,0)),"")</f>
        <v>Clients</v>
      </c>
      <c r="F8" s="18" t="s">
        <v>231</v>
      </c>
      <c r="G8" s="21" t="s">
        <v>201</v>
      </c>
      <c r="H8" s="23"/>
      <c r="I8" s="23" t="n">
        <v>119000</v>
      </c>
    </row>
    <row r="9" customFormat="false" ht="15" hidden="false" customHeight="false" outlineLevel="0" collapsed="false">
      <c r="A9" s="19" t="n">
        <f aca="false">IF(OR(H9&lt;&gt;"",I9&lt;&gt;""),ROW()-3,"")</f>
        <v>6</v>
      </c>
      <c r="B9" s="20" t="s">
        <v>232</v>
      </c>
      <c r="C9" s="18" t="s">
        <v>233</v>
      </c>
      <c r="D9" s="21" t="s">
        <v>115</v>
      </c>
      <c r="E9" s="22" t="str">
        <f aca="false">IFERROR(INDEX(Comptes!$B$4:$B$50,MATCH($D9,Comptes!$A$4:$A$50,0)),"")</f>
        <v>Achats de marchandises vendues</v>
      </c>
      <c r="F9" s="18" t="s">
        <v>234</v>
      </c>
      <c r="G9" s="21" t="s">
        <v>204</v>
      </c>
      <c r="H9" s="23" t="n">
        <v>50000</v>
      </c>
      <c r="I9" s="23"/>
    </row>
    <row r="10" customFormat="false" ht="15" hidden="false" customHeight="false" outlineLevel="0" collapsed="false">
      <c r="A10" s="19" t="n">
        <f aca="false">IF(OR(H10&lt;&gt;"",I10&lt;&gt;""),ROW()-3,"")</f>
        <v>7</v>
      </c>
      <c r="B10" s="20" t="s">
        <v>232</v>
      </c>
      <c r="C10" s="18" t="s">
        <v>233</v>
      </c>
      <c r="D10" s="21" t="s">
        <v>102</v>
      </c>
      <c r="E10" s="22" t="str">
        <f aca="false">IFERROR(INDEX(Comptes!$B$4:$B$50,MATCH($D10,Comptes!$A$4:$A$50,0)),"")</f>
        <v>TVA deductible</v>
      </c>
      <c r="F10" s="18" t="s">
        <v>235</v>
      </c>
      <c r="G10" s="21" t="s">
        <v>204</v>
      </c>
      <c r="H10" s="23" t="n">
        <v>9500</v>
      </c>
      <c r="I10" s="23"/>
    </row>
    <row r="11" customFormat="false" ht="15" hidden="false" customHeight="false" outlineLevel="0" collapsed="false">
      <c r="A11" s="19" t="n">
        <f aca="false">IF(OR(H11&lt;&gt;"",I11&lt;&gt;""),ROW()-3,"")</f>
        <v>8</v>
      </c>
      <c r="B11" s="20" t="s">
        <v>232</v>
      </c>
      <c r="C11" s="18" t="s">
        <v>233</v>
      </c>
      <c r="D11" s="21" t="s">
        <v>77</v>
      </c>
      <c r="E11" s="22" t="str">
        <f aca="false">IFERROR(INDEX(Comptes!$B$4:$B$50,MATCH($D11,Comptes!$A$4:$A$50,0)),"")</f>
        <v>Fournisseurs de stocks et services</v>
      </c>
      <c r="F11" s="18" t="s">
        <v>234</v>
      </c>
      <c r="G11" s="21" t="s">
        <v>204</v>
      </c>
      <c r="H11" s="23"/>
      <c r="I11" s="23" t="n">
        <v>59500</v>
      </c>
    </row>
    <row r="12" customFormat="false" ht="15" hidden="false" customHeight="false" outlineLevel="0" collapsed="false">
      <c r="A12" s="19" t="n">
        <f aca="false">IF(OR(H12&lt;&gt;"",I12&lt;&gt;""),ROW()-3,"")</f>
        <v>9</v>
      </c>
      <c r="B12" s="20" t="s">
        <v>236</v>
      </c>
      <c r="C12" s="18" t="s">
        <v>237</v>
      </c>
      <c r="D12" s="21" t="s">
        <v>151</v>
      </c>
      <c r="E12" s="22" t="str">
        <f aca="false">IFERROR(INDEX(Comptes!$B$4:$B$50,MATCH($D12,Comptes!$A$4:$A$50,0)),"")</f>
        <v>Remunerations du personnel</v>
      </c>
      <c r="F12" s="18" t="s">
        <v>238</v>
      </c>
      <c r="G12" s="21" t="s">
        <v>210</v>
      </c>
      <c r="H12" s="23" t="n">
        <v>40000</v>
      </c>
      <c r="I12" s="23"/>
    </row>
    <row r="13" customFormat="false" ht="15" hidden="false" customHeight="false" outlineLevel="0" collapsed="false">
      <c r="A13" s="19" t="n">
        <f aca="false">IF(OR(H13&lt;&gt;"",I13&lt;&gt;""),ROW()-3,"")</f>
        <v>10</v>
      </c>
      <c r="B13" s="20" t="s">
        <v>236</v>
      </c>
      <c r="C13" s="18" t="s">
        <v>237</v>
      </c>
      <c r="D13" s="21" t="s">
        <v>92</v>
      </c>
      <c r="E13" s="22" t="str">
        <f aca="false">IFERROR(INDEX(Comptes!$B$4:$B$50,MATCH($D13,Comptes!$A$4:$A$50,0)),"")</f>
        <v>Personnel, remunerations dues</v>
      </c>
      <c r="F13" s="18" t="s">
        <v>239</v>
      </c>
      <c r="G13" s="21" t="s">
        <v>210</v>
      </c>
      <c r="H13" s="23"/>
      <c r="I13" s="23" t="n">
        <v>40000</v>
      </c>
    </row>
    <row r="14" customFormat="false" ht="15" hidden="false" customHeight="false" outlineLevel="0" collapsed="false">
      <c r="A14" s="19" t="str">
        <f aca="false">IF(OR(H14&lt;&gt;"",I14&lt;&gt;""),ROW()-3,"")</f>
        <v/>
      </c>
      <c r="B14" s="20"/>
      <c r="C14" s="18"/>
      <c r="D14" s="21"/>
      <c r="E14" s="22" t="str">
        <f aca="false">IFERROR(INDEX(Comptes!$B$4:$B$50,MATCH($D14,Comptes!$A$4:$A$50,0)),"")</f>
        <v/>
      </c>
      <c r="F14" s="18"/>
      <c r="G14" s="21"/>
      <c r="H14" s="23"/>
      <c r="I14" s="23"/>
    </row>
    <row r="15" customFormat="false" ht="15" hidden="false" customHeight="false" outlineLevel="0" collapsed="false">
      <c r="A15" s="19" t="str">
        <f aca="false">IF(OR(H15&lt;&gt;"",I15&lt;&gt;""),ROW()-3,"")</f>
        <v/>
      </c>
      <c r="B15" s="20"/>
      <c r="C15" s="18"/>
      <c r="D15" s="21"/>
      <c r="E15" s="22" t="str">
        <f aca="false">IFERROR(INDEX(Comptes!$B$4:$B$50,MATCH($D15,Comptes!$A$4:$A$50,0)),"")</f>
        <v/>
      </c>
      <c r="F15" s="18"/>
      <c r="G15" s="21"/>
      <c r="H15" s="23"/>
      <c r="I15" s="23"/>
    </row>
    <row r="16" customFormat="false" ht="15" hidden="false" customHeight="false" outlineLevel="0" collapsed="false">
      <c r="A16" s="19" t="str">
        <f aca="false">IF(OR(H16&lt;&gt;"",I16&lt;&gt;""),ROW()-3,"")</f>
        <v/>
      </c>
      <c r="B16" s="20"/>
      <c r="C16" s="18"/>
      <c r="D16" s="21"/>
      <c r="E16" s="22" t="str">
        <f aca="false">IFERROR(INDEX(Comptes!$B$4:$B$50,MATCH($D16,Comptes!$A$4:$A$50,0)),"")</f>
        <v/>
      </c>
      <c r="F16" s="18"/>
      <c r="G16" s="21"/>
      <c r="H16" s="23"/>
      <c r="I16" s="23"/>
    </row>
    <row r="17" customFormat="false" ht="15" hidden="false" customHeight="false" outlineLevel="0" collapsed="false">
      <c r="A17" s="19" t="str">
        <f aca="false">IF(OR(H17&lt;&gt;"",I17&lt;&gt;""),ROW()-3,"")</f>
        <v/>
      </c>
      <c r="B17" s="20"/>
      <c r="C17" s="18"/>
      <c r="D17" s="21"/>
      <c r="E17" s="22" t="str">
        <f aca="false">IFERROR(INDEX(Comptes!$B$4:$B$50,MATCH($D17,Comptes!$A$4:$A$50,0)),"")</f>
        <v/>
      </c>
      <c r="F17" s="18"/>
      <c r="G17" s="21"/>
      <c r="H17" s="23"/>
      <c r="I17" s="23"/>
    </row>
    <row r="18" customFormat="false" ht="15" hidden="false" customHeight="false" outlineLevel="0" collapsed="false">
      <c r="A18" s="19" t="str">
        <f aca="false">IF(OR(H18&lt;&gt;"",I18&lt;&gt;""),ROW()-3,"")</f>
        <v/>
      </c>
      <c r="B18" s="20"/>
      <c r="C18" s="18"/>
      <c r="D18" s="21"/>
      <c r="E18" s="22" t="str">
        <f aca="false">IFERROR(INDEX(Comptes!$B$4:$B$50,MATCH($D18,Comptes!$A$4:$A$50,0)),"")</f>
        <v/>
      </c>
      <c r="F18" s="18"/>
      <c r="G18" s="21"/>
      <c r="H18" s="23"/>
      <c r="I18" s="23"/>
    </row>
    <row r="19" customFormat="false" ht="15" hidden="false" customHeight="false" outlineLevel="0" collapsed="false">
      <c r="A19" s="19" t="str">
        <f aca="false">IF(OR(H19&lt;&gt;"",I19&lt;&gt;""),ROW()-3,"")</f>
        <v/>
      </c>
      <c r="B19" s="20"/>
      <c r="C19" s="18"/>
      <c r="D19" s="21"/>
      <c r="E19" s="22" t="str">
        <f aca="false">IFERROR(INDEX(Comptes!$B$4:$B$50,MATCH($D19,Comptes!$A$4:$A$50,0)),"")</f>
        <v/>
      </c>
      <c r="F19" s="18"/>
      <c r="G19" s="21"/>
      <c r="H19" s="23"/>
      <c r="I19" s="23"/>
    </row>
    <row r="20" customFormat="false" ht="15" hidden="false" customHeight="false" outlineLevel="0" collapsed="false">
      <c r="A20" s="19" t="str">
        <f aca="false">IF(OR(H20&lt;&gt;"",I20&lt;&gt;""),ROW()-3,"")</f>
        <v/>
      </c>
      <c r="B20" s="20"/>
      <c r="C20" s="18"/>
      <c r="D20" s="21"/>
      <c r="E20" s="22" t="str">
        <f aca="false">IFERROR(INDEX(Comptes!$B$4:$B$50,MATCH($D20,Comptes!$A$4:$A$50,0)),"")</f>
        <v/>
      </c>
      <c r="F20" s="18"/>
      <c r="G20" s="21"/>
      <c r="H20" s="23"/>
      <c r="I20" s="23"/>
    </row>
    <row r="21" customFormat="false" ht="15" hidden="false" customHeight="false" outlineLevel="0" collapsed="false">
      <c r="A21" s="19" t="str">
        <f aca="false">IF(OR(H21&lt;&gt;"",I21&lt;&gt;""),ROW()-3,"")</f>
        <v/>
      </c>
      <c r="B21" s="20"/>
      <c r="C21" s="18"/>
      <c r="D21" s="21"/>
      <c r="E21" s="22" t="str">
        <f aca="false">IFERROR(INDEX(Comptes!$B$4:$B$50,MATCH($D21,Comptes!$A$4:$A$50,0)),"")</f>
        <v/>
      </c>
      <c r="F21" s="18"/>
      <c r="G21" s="21"/>
      <c r="H21" s="23"/>
      <c r="I21" s="23"/>
    </row>
    <row r="22" customFormat="false" ht="15" hidden="false" customHeight="false" outlineLevel="0" collapsed="false">
      <c r="A22" s="19" t="str">
        <f aca="false">IF(OR(H22&lt;&gt;"",I22&lt;&gt;""),ROW()-3,"")</f>
        <v/>
      </c>
      <c r="B22" s="20"/>
      <c r="C22" s="18"/>
      <c r="D22" s="21"/>
      <c r="E22" s="22" t="str">
        <f aca="false">IFERROR(INDEX(Comptes!$B$4:$B$50,MATCH($D22,Comptes!$A$4:$A$50,0)),"")</f>
        <v/>
      </c>
      <c r="F22" s="18"/>
      <c r="G22" s="21"/>
      <c r="H22" s="23"/>
      <c r="I22" s="23"/>
    </row>
    <row r="23" customFormat="false" ht="15" hidden="false" customHeight="false" outlineLevel="0" collapsed="false">
      <c r="A23" s="19" t="str">
        <f aca="false">IF(OR(H23&lt;&gt;"",I23&lt;&gt;""),ROW()-3,"")</f>
        <v/>
      </c>
      <c r="B23" s="20"/>
      <c r="C23" s="18"/>
      <c r="D23" s="21"/>
      <c r="E23" s="22" t="str">
        <f aca="false">IFERROR(INDEX(Comptes!$B$4:$B$50,MATCH($D23,Comptes!$A$4:$A$50,0)),"")</f>
        <v/>
      </c>
      <c r="F23" s="18"/>
      <c r="G23" s="21"/>
      <c r="H23" s="23"/>
      <c r="I23" s="23"/>
    </row>
    <row r="24" customFormat="false" ht="15" hidden="false" customHeight="false" outlineLevel="0" collapsed="false">
      <c r="A24" s="19" t="str">
        <f aca="false">IF(OR(H24&lt;&gt;"",I24&lt;&gt;""),ROW()-3,"")</f>
        <v/>
      </c>
      <c r="B24" s="20"/>
      <c r="C24" s="18"/>
      <c r="D24" s="21"/>
      <c r="E24" s="22" t="str">
        <f aca="false">IFERROR(INDEX(Comptes!$B$4:$B$50,MATCH($D24,Comptes!$A$4:$A$50,0)),"")</f>
        <v/>
      </c>
      <c r="F24" s="18"/>
      <c r="G24" s="21"/>
      <c r="H24" s="23"/>
      <c r="I24" s="23"/>
    </row>
    <row r="25" customFormat="false" ht="15" hidden="false" customHeight="false" outlineLevel="0" collapsed="false">
      <c r="A25" s="19" t="str">
        <f aca="false">IF(OR(H25&lt;&gt;"",I25&lt;&gt;""),ROW()-3,"")</f>
        <v/>
      </c>
      <c r="B25" s="20"/>
      <c r="C25" s="18"/>
      <c r="D25" s="21"/>
      <c r="E25" s="22" t="str">
        <f aca="false">IFERROR(INDEX(Comptes!$B$4:$B$50,MATCH($D25,Comptes!$A$4:$A$50,0)),"")</f>
        <v/>
      </c>
      <c r="F25" s="18"/>
      <c r="G25" s="21"/>
      <c r="H25" s="23"/>
      <c r="I25" s="23"/>
    </row>
    <row r="26" customFormat="false" ht="15" hidden="false" customHeight="false" outlineLevel="0" collapsed="false">
      <c r="A26" s="19" t="str">
        <f aca="false">IF(OR(H26&lt;&gt;"",I26&lt;&gt;""),ROW()-3,"")</f>
        <v/>
      </c>
      <c r="B26" s="20"/>
      <c r="C26" s="18"/>
      <c r="D26" s="21"/>
      <c r="E26" s="22" t="str">
        <f aca="false">IFERROR(INDEX(Comptes!$B$4:$B$50,MATCH($D26,Comptes!$A$4:$A$50,0)),"")</f>
        <v/>
      </c>
      <c r="F26" s="18"/>
      <c r="G26" s="21"/>
      <c r="H26" s="23"/>
      <c r="I26" s="23"/>
    </row>
    <row r="27" customFormat="false" ht="15" hidden="false" customHeight="false" outlineLevel="0" collapsed="false">
      <c r="A27" s="19" t="str">
        <f aca="false">IF(OR(H27&lt;&gt;"",I27&lt;&gt;""),ROW()-3,"")</f>
        <v/>
      </c>
      <c r="B27" s="20"/>
      <c r="C27" s="18"/>
      <c r="D27" s="21"/>
      <c r="E27" s="22" t="str">
        <f aca="false">IFERROR(INDEX(Comptes!$B$4:$B$50,MATCH($D27,Comptes!$A$4:$A$50,0)),"")</f>
        <v/>
      </c>
      <c r="F27" s="18"/>
      <c r="G27" s="21"/>
      <c r="H27" s="23"/>
      <c r="I27" s="23"/>
    </row>
    <row r="28" customFormat="false" ht="15" hidden="false" customHeight="false" outlineLevel="0" collapsed="false">
      <c r="A28" s="19" t="str">
        <f aca="false">IF(OR(H28&lt;&gt;"",I28&lt;&gt;""),ROW()-3,"")</f>
        <v/>
      </c>
      <c r="B28" s="20"/>
      <c r="C28" s="18"/>
      <c r="D28" s="21"/>
      <c r="E28" s="22" t="str">
        <f aca="false">IFERROR(INDEX(Comptes!$B$4:$B$50,MATCH($D28,Comptes!$A$4:$A$50,0)),"")</f>
        <v/>
      </c>
      <c r="F28" s="18"/>
      <c r="G28" s="21"/>
      <c r="H28" s="23"/>
      <c r="I28" s="23"/>
    </row>
    <row r="29" customFormat="false" ht="15" hidden="false" customHeight="false" outlineLevel="0" collapsed="false">
      <c r="A29" s="19" t="str">
        <f aca="false">IF(OR(H29&lt;&gt;"",I29&lt;&gt;""),ROW()-3,"")</f>
        <v/>
      </c>
      <c r="B29" s="20"/>
      <c r="C29" s="18"/>
      <c r="D29" s="21"/>
      <c r="E29" s="22" t="str">
        <f aca="false">IFERROR(INDEX(Comptes!$B$4:$B$50,MATCH($D29,Comptes!$A$4:$A$50,0)),"")</f>
        <v/>
      </c>
      <c r="F29" s="18"/>
      <c r="G29" s="21"/>
      <c r="H29" s="23"/>
      <c r="I29" s="23"/>
    </row>
    <row r="30" customFormat="false" ht="15" hidden="false" customHeight="false" outlineLevel="0" collapsed="false">
      <c r="A30" s="19" t="str">
        <f aca="false">IF(OR(H30&lt;&gt;"",I30&lt;&gt;""),ROW()-3,"")</f>
        <v/>
      </c>
      <c r="B30" s="20"/>
      <c r="C30" s="18"/>
      <c r="D30" s="21"/>
      <c r="E30" s="22" t="str">
        <f aca="false">IFERROR(INDEX(Comptes!$B$4:$B$50,MATCH($D30,Comptes!$A$4:$A$50,0)),"")</f>
        <v/>
      </c>
      <c r="F30" s="18"/>
      <c r="G30" s="21"/>
      <c r="H30" s="23"/>
      <c r="I30" s="23"/>
    </row>
    <row r="31" customFormat="false" ht="15" hidden="false" customHeight="false" outlineLevel="0" collapsed="false">
      <c r="A31" s="19" t="str">
        <f aca="false">IF(OR(H31&lt;&gt;"",I31&lt;&gt;""),ROW()-3,"")</f>
        <v/>
      </c>
      <c r="B31" s="20"/>
      <c r="C31" s="18"/>
      <c r="D31" s="21"/>
      <c r="E31" s="22" t="str">
        <f aca="false">IFERROR(INDEX(Comptes!$B$4:$B$50,MATCH($D31,Comptes!$A$4:$A$50,0)),"")</f>
        <v/>
      </c>
      <c r="F31" s="18"/>
      <c r="G31" s="21"/>
      <c r="H31" s="23"/>
      <c r="I31" s="23"/>
    </row>
    <row r="32" customFormat="false" ht="15" hidden="false" customHeight="false" outlineLevel="0" collapsed="false">
      <c r="A32" s="19" t="str">
        <f aca="false">IF(OR(H32&lt;&gt;"",I32&lt;&gt;""),ROW()-3,"")</f>
        <v/>
      </c>
      <c r="B32" s="20"/>
      <c r="C32" s="18"/>
      <c r="D32" s="21"/>
      <c r="E32" s="22" t="str">
        <f aca="false">IFERROR(INDEX(Comptes!$B$4:$B$50,MATCH($D32,Comptes!$A$4:$A$50,0)),"")</f>
        <v/>
      </c>
      <c r="F32" s="18"/>
      <c r="G32" s="21"/>
      <c r="H32" s="23"/>
      <c r="I32" s="23"/>
    </row>
    <row r="33" customFormat="false" ht="15" hidden="false" customHeight="false" outlineLevel="0" collapsed="false">
      <c r="A33" s="19" t="str">
        <f aca="false">IF(OR(H33&lt;&gt;"",I33&lt;&gt;""),ROW()-3,"")</f>
        <v/>
      </c>
      <c r="B33" s="20"/>
      <c r="C33" s="18"/>
      <c r="D33" s="21"/>
      <c r="E33" s="22" t="str">
        <f aca="false">IFERROR(INDEX(Comptes!$B$4:$B$50,MATCH($D33,Comptes!$A$4:$A$50,0)),"")</f>
        <v/>
      </c>
      <c r="F33" s="18"/>
      <c r="G33" s="21"/>
      <c r="H33" s="23"/>
      <c r="I33" s="23"/>
    </row>
    <row r="34" customFormat="false" ht="15" hidden="false" customHeight="false" outlineLevel="0" collapsed="false">
      <c r="A34" s="19" t="str">
        <f aca="false">IF(OR(H34&lt;&gt;"",I34&lt;&gt;""),ROW()-3,"")</f>
        <v/>
      </c>
      <c r="B34" s="20"/>
      <c r="C34" s="18"/>
      <c r="D34" s="21"/>
      <c r="E34" s="22" t="str">
        <f aca="false">IFERROR(INDEX(Comptes!$B$4:$B$50,MATCH($D34,Comptes!$A$4:$A$50,0)),"")</f>
        <v/>
      </c>
      <c r="F34" s="18"/>
      <c r="G34" s="21"/>
      <c r="H34" s="23"/>
      <c r="I34" s="23"/>
    </row>
    <row r="35" customFormat="false" ht="15" hidden="false" customHeight="false" outlineLevel="0" collapsed="false">
      <c r="A35" s="19" t="str">
        <f aca="false">IF(OR(H35&lt;&gt;"",I35&lt;&gt;""),ROW()-3,"")</f>
        <v/>
      </c>
      <c r="B35" s="20"/>
      <c r="C35" s="18"/>
      <c r="D35" s="21"/>
      <c r="E35" s="22" t="str">
        <f aca="false">IFERROR(INDEX(Comptes!$B$4:$B$50,MATCH($D35,Comptes!$A$4:$A$50,0)),"")</f>
        <v/>
      </c>
      <c r="F35" s="18"/>
      <c r="G35" s="21"/>
      <c r="H35" s="23"/>
      <c r="I35" s="23"/>
    </row>
    <row r="36" customFormat="false" ht="15" hidden="false" customHeight="false" outlineLevel="0" collapsed="false">
      <c r="A36" s="19" t="str">
        <f aca="false">IF(OR(H36&lt;&gt;"",I36&lt;&gt;""),ROW()-3,"")</f>
        <v/>
      </c>
      <c r="B36" s="20"/>
      <c r="C36" s="18"/>
      <c r="D36" s="21"/>
      <c r="E36" s="22" t="str">
        <f aca="false">IFERROR(INDEX(Comptes!$B$4:$B$50,MATCH($D36,Comptes!$A$4:$A$50,0)),"")</f>
        <v/>
      </c>
      <c r="F36" s="18"/>
      <c r="G36" s="21"/>
      <c r="H36" s="23"/>
      <c r="I36" s="23"/>
    </row>
    <row r="37" customFormat="false" ht="15" hidden="false" customHeight="false" outlineLevel="0" collapsed="false">
      <c r="A37" s="19" t="str">
        <f aca="false">IF(OR(H37&lt;&gt;"",I37&lt;&gt;""),ROW()-3,"")</f>
        <v/>
      </c>
      <c r="B37" s="20"/>
      <c r="C37" s="18"/>
      <c r="D37" s="21"/>
      <c r="E37" s="22" t="str">
        <f aca="false">IFERROR(INDEX(Comptes!$B$4:$B$50,MATCH($D37,Comptes!$A$4:$A$50,0)),"")</f>
        <v/>
      </c>
      <c r="F37" s="18"/>
      <c r="G37" s="21"/>
      <c r="H37" s="23"/>
      <c r="I37" s="23"/>
    </row>
    <row r="38" customFormat="false" ht="15" hidden="false" customHeight="false" outlineLevel="0" collapsed="false">
      <c r="A38" s="19" t="str">
        <f aca="false">IF(OR(H38&lt;&gt;"",I38&lt;&gt;""),ROW()-3,"")</f>
        <v/>
      </c>
      <c r="B38" s="20"/>
      <c r="C38" s="18"/>
      <c r="D38" s="21"/>
      <c r="E38" s="22" t="str">
        <f aca="false">IFERROR(INDEX(Comptes!$B$4:$B$50,MATCH($D38,Comptes!$A$4:$A$50,0)),"")</f>
        <v/>
      </c>
      <c r="F38" s="18"/>
      <c r="G38" s="21"/>
      <c r="H38" s="23"/>
      <c r="I38" s="23"/>
    </row>
    <row r="39" customFormat="false" ht="15" hidden="false" customHeight="false" outlineLevel="0" collapsed="false">
      <c r="A39" s="19" t="str">
        <f aca="false">IF(OR(H39&lt;&gt;"",I39&lt;&gt;""),ROW()-3,"")</f>
        <v/>
      </c>
      <c r="B39" s="20"/>
      <c r="C39" s="18"/>
      <c r="D39" s="21"/>
      <c r="E39" s="22" t="str">
        <f aca="false">IFERROR(INDEX(Comptes!$B$4:$B$50,MATCH($D39,Comptes!$A$4:$A$50,0)),"")</f>
        <v/>
      </c>
      <c r="F39" s="18"/>
      <c r="G39" s="21"/>
      <c r="H39" s="23"/>
      <c r="I39" s="23"/>
    </row>
    <row r="40" customFormat="false" ht="15" hidden="false" customHeight="false" outlineLevel="0" collapsed="false">
      <c r="A40" s="19" t="str">
        <f aca="false">IF(OR(H40&lt;&gt;"",I40&lt;&gt;""),ROW()-3,"")</f>
        <v/>
      </c>
      <c r="B40" s="20"/>
      <c r="C40" s="18"/>
      <c r="D40" s="21"/>
      <c r="E40" s="22" t="str">
        <f aca="false">IFERROR(INDEX(Comptes!$B$4:$B$50,MATCH($D40,Comptes!$A$4:$A$50,0)),"")</f>
        <v/>
      </c>
      <c r="F40" s="18"/>
      <c r="G40" s="21"/>
      <c r="H40" s="23"/>
      <c r="I40" s="23"/>
    </row>
    <row r="41" customFormat="false" ht="15" hidden="false" customHeight="false" outlineLevel="0" collapsed="false">
      <c r="A41" s="19" t="str">
        <f aca="false">IF(OR(H41&lt;&gt;"",I41&lt;&gt;""),ROW()-3,"")</f>
        <v/>
      </c>
      <c r="B41" s="20"/>
      <c r="C41" s="18"/>
      <c r="D41" s="21"/>
      <c r="E41" s="22" t="str">
        <f aca="false">IFERROR(INDEX(Comptes!$B$4:$B$50,MATCH($D41,Comptes!$A$4:$A$50,0)),"")</f>
        <v/>
      </c>
      <c r="F41" s="18"/>
      <c r="G41" s="21"/>
      <c r="H41" s="23"/>
      <c r="I41" s="23"/>
    </row>
    <row r="42" customFormat="false" ht="15" hidden="false" customHeight="false" outlineLevel="0" collapsed="false">
      <c r="A42" s="19" t="str">
        <f aca="false">IF(OR(H42&lt;&gt;"",I42&lt;&gt;""),ROW()-3,"")</f>
        <v/>
      </c>
      <c r="B42" s="20"/>
      <c r="C42" s="18"/>
      <c r="D42" s="21"/>
      <c r="E42" s="22" t="str">
        <f aca="false">IFERROR(INDEX(Comptes!$B$4:$B$50,MATCH($D42,Comptes!$A$4:$A$50,0)),"")</f>
        <v/>
      </c>
      <c r="F42" s="18"/>
      <c r="G42" s="21"/>
      <c r="H42" s="23"/>
      <c r="I42" s="23"/>
    </row>
    <row r="43" customFormat="false" ht="15" hidden="false" customHeight="false" outlineLevel="0" collapsed="false">
      <c r="A43" s="19" t="str">
        <f aca="false">IF(OR(H43&lt;&gt;"",I43&lt;&gt;""),ROW()-3,"")</f>
        <v/>
      </c>
      <c r="B43" s="20"/>
      <c r="C43" s="18"/>
      <c r="D43" s="21"/>
      <c r="E43" s="22" t="str">
        <f aca="false">IFERROR(INDEX(Comptes!$B$4:$B$50,MATCH($D43,Comptes!$A$4:$A$50,0)),"")</f>
        <v/>
      </c>
      <c r="F43" s="18"/>
      <c r="G43" s="21"/>
      <c r="H43" s="23"/>
      <c r="I43" s="23"/>
    </row>
    <row r="44" customFormat="false" ht="15" hidden="false" customHeight="false" outlineLevel="0" collapsed="false">
      <c r="A44" s="19" t="str">
        <f aca="false">IF(OR(H44&lt;&gt;"",I44&lt;&gt;""),ROW()-3,"")</f>
        <v/>
      </c>
      <c r="B44" s="20"/>
      <c r="C44" s="18"/>
      <c r="D44" s="21"/>
      <c r="E44" s="22" t="str">
        <f aca="false">IFERROR(INDEX(Comptes!$B$4:$B$50,MATCH($D44,Comptes!$A$4:$A$50,0)),"")</f>
        <v/>
      </c>
      <c r="F44" s="18"/>
      <c r="G44" s="21"/>
      <c r="H44" s="23"/>
      <c r="I44" s="23"/>
    </row>
    <row r="45" customFormat="false" ht="15" hidden="false" customHeight="false" outlineLevel="0" collapsed="false">
      <c r="A45" s="19" t="str">
        <f aca="false">IF(OR(H45&lt;&gt;"",I45&lt;&gt;""),ROW()-3,"")</f>
        <v/>
      </c>
      <c r="B45" s="20"/>
      <c r="C45" s="18"/>
      <c r="D45" s="21"/>
      <c r="E45" s="22" t="str">
        <f aca="false">IFERROR(INDEX(Comptes!$B$4:$B$50,MATCH($D45,Comptes!$A$4:$A$50,0)),"")</f>
        <v/>
      </c>
      <c r="F45" s="18"/>
      <c r="G45" s="21"/>
      <c r="H45" s="23"/>
      <c r="I45" s="23"/>
    </row>
    <row r="46" customFormat="false" ht="15" hidden="false" customHeight="false" outlineLevel="0" collapsed="false">
      <c r="A46" s="19" t="str">
        <f aca="false">IF(OR(H46&lt;&gt;"",I46&lt;&gt;""),ROW()-3,"")</f>
        <v/>
      </c>
      <c r="B46" s="20"/>
      <c r="C46" s="18"/>
      <c r="D46" s="21"/>
      <c r="E46" s="22" t="str">
        <f aca="false">IFERROR(INDEX(Comptes!$B$4:$B$50,MATCH($D46,Comptes!$A$4:$A$50,0)),"")</f>
        <v/>
      </c>
      <c r="F46" s="18"/>
      <c r="G46" s="21"/>
      <c r="H46" s="23"/>
      <c r="I46" s="23"/>
    </row>
    <row r="47" customFormat="false" ht="15" hidden="false" customHeight="false" outlineLevel="0" collapsed="false">
      <c r="A47" s="19" t="str">
        <f aca="false">IF(OR(H47&lt;&gt;"",I47&lt;&gt;""),ROW()-3,"")</f>
        <v/>
      </c>
      <c r="B47" s="20"/>
      <c r="C47" s="18"/>
      <c r="D47" s="21"/>
      <c r="E47" s="22" t="str">
        <f aca="false">IFERROR(INDEX(Comptes!$B$4:$B$50,MATCH($D47,Comptes!$A$4:$A$50,0)),"")</f>
        <v/>
      </c>
      <c r="F47" s="18"/>
      <c r="G47" s="21"/>
      <c r="H47" s="23"/>
      <c r="I47" s="23"/>
    </row>
    <row r="48" customFormat="false" ht="15" hidden="false" customHeight="false" outlineLevel="0" collapsed="false">
      <c r="A48" s="19" t="str">
        <f aca="false">IF(OR(H48&lt;&gt;"",I48&lt;&gt;""),ROW()-3,"")</f>
        <v/>
      </c>
      <c r="B48" s="20"/>
      <c r="C48" s="18"/>
      <c r="D48" s="21"/>
      <c r="E48" s="22" t="str">
        <f aca="false">IFERROR(INDEX(Comptes!$B$4:$B$50,MATCH($D48,Comptes!$A$4:$A$50,0)),"")</f>
        <v/>
      </c>
      <c r="F48" s="18"/>
      <c r="G48" s="21"/>
      <c r="H48" s="23"/>
      <c r="I48" s="23"/>
    </row>
    <row r="49" customFormat="false" ht="15" hidden="false" customHeight="false" outlineLevel="0" collapsed="false">
      <c r="A49" s="19" t="str">
        <f aca="false">IF(OR(H49&lt;&gt;"",I49&lt;&gt;""),ROW()-3,"")</f>
        <v/>
      </c>
      <c r="B49" s="20"/>
      <c r="C49" s="18"/>
      <c r="D49" s="21"/>
      <c r="E49" s="22" t="str">
        <f aca="false">IFERROR(INDEX(Comptes!$B$4:$B$50,MATCH($D49,Comptes!$A$4:$A$50,0)),"")</f>
        <v/>
      </c>
      <c r="F49" s="18"/>
      <c r="G49" s="21"/>
      <c r="H49" s="23"/>
      <c r="I49" s="23"/>
    </row>
    <row r="50" customFormat="false" ht="15" hidden="false" customHeight="false" outlineLevel="0" collapsed="false">
      <c r="A50" s="19" t="str">
        <f aca="false">IF(OR(H50&lt;&gt;"",I50&lt;&gt;""),ROW()-3,"")</f>
        <v/>
      </c>
      <c r="B50" s="20"/>
      <c r="C50" s="18"/>
      <c r="D50" s="21"/>
      <c r="E50" s="22" t="str">
        <f aca="false">IFERROR(INDEX(Comptes!$B$4:$B$50,MATCH($D50,Comptes!$A$4:$A$50,0)),"")</f>
        <v/>
      </c>
      <c r="F50" s="18"/>
      <c r="G50" s="21"/>
      <c r="H50" s="23"/>
      <c r="I50" s="23"/>
    </row>
    <row r="51" customFormat="false" ht="15" hidden="false" customHeight="false" outlineLevel="0" collapsed="false">
      <c r="A51" s="19" t="str">
        <f aca="false">IF(OR(H51&lt;&gt;"",I51&lt;&gt;""),ROW()-3,"")</f>
        <v/>
      </c>
      <c r="B51" s="20"/>
      <c r="C51" s="18"/>
      <c r="D51" s="21"/>
      <c r="E51" s="22" t="str">
        <f aca="false">IFERROR(INDEX(Comptes!$B$4:$B$50,MATCH($D51,Comptes!$A$4:$A$50,0)),"")</f>
        <v/>
      </c>
      <c r="F51" s="18"/>
      <c r="G51" s="21"/>
      <c r="H51" s="23"/>
      <c r="I51" s="23"/>
    </row>
    <row r="52" customFormat="false" ht="15" hidden="false" customHeight="false" outlineLevel="0" collapsed="false">
      <c r="A52" s="19" t="str">
        <f aca="false">IF(OR(H52&lt;&gt;"",I52&lt;&gt;""),ROW()-3,"")</f>
        <v/>
      </c>
      <c r="B52" s="20"/>
      <c r="C52" s="18"/>
      <c r="D52" s="21"/>
      <c r="E52" s="22" t="str">
        <f aca="false">IFERROR(INDEX(Comptes!$B$4:$B$50,MATCH($D52,Comptes!$A$4:$A$50,0)),"")</f>
        <v/>
      </c>
      <c r="F52" s="18"/>
      <c r="G52" s="21"/>
      <c r="H52" s="23"/>
      <c r="I52" s="23"/>
    </row>
    <row r="53" customFormat="false" ht="15" hidden="false" customHeight="false" outlineLevel="0" collapsed="false">
      <c r="A53" s="19" t="str">
        <f aca="false">IF(OR(H53&lt;&gt;"",I53&lt;&gt;""),ROW()-3,"")</f>
        <v/>
      </c>
      <c r="B53" s="20"/>
      <c r="C53" s="18"/>
      <c r="D53" s="21"/>
      <c r="E53" s="22" t="str">
        <f aca="false">IFERROR(INDEX(Comptes!$B$4:$B$50,MATCH($D53,Comptes!$A$4:$A$50,0)),"")</f>
        <v/>
      </c>
      <c r="F53" s="18"/>
      <c r="G53" s="21"/>
      <c r="H53" s="23"/>
      <c r="I53" s="23"/>
    </row>
    <row r="54" customFormat="false" ht="15" hidden="false" customHeight="false" outlineLevel="0" collapsed="false">
      <c r="A54" s="19" t="str">
        <f aca="false">IF(OR(H54&lt;&gt;"",I54&lt;&gt;""),ROW()-3,"")</f>
        <v/>
      </c>
      <c r="B54" s="20"/>
      <c r="C54" s="18"/>
      <c r="D54" s="21"/>
      <c r="E54" s="22" t="str">
        <f aca="false">IFERROR(INDEX(Comptes!$B$4:$B$50,MATCH($D54,Comptes!$A$4:$A$50,0)),"")</f>
        <v/>
      </c>
      <c r="F54" s="18"/>
      <c r="G54" s="21"/>
      <c r="H54" s="23"/>
      <c r="I54" s="23"/>
    </row>
    <row r="55" customFormat="false" ht="15" hidden="false" customHeight="false" outlineLevel="0" collapsed="false">
      <c r="A55" s="19" t="str">
        <f aca="false">IF(OR(H55&lt;&gt;"",I55&lt;&gt;""),ROW()-3,"")</f>
        <v/>
      </c>
      <c r="B55" s="20"/>
      <c r="C55" s="18"/>
      <c r="D55" s="21"/>
      <c r="E55" s="22" t="str">
        <f aca="false">IFERROR(INDEX(Comptes!$B$4:$B$50,MATCH($D55,Comptes!$A$4:$A$50,0)),"")</f>
        <v/>
      </c>
      <c r="F55" s="18"/>
      <c r="G55" s="21"/>
      <c r="H55" s="23"/>
      <c r="I55" s="23"/>
    </row>
    <row r="56" customFormat="false" ht="15" hidden="false" customHeight="false" outlineLevel="0" collapsed="false">
      <c r="A56" s="19" t="str">
        <f aca="false">IF(OR(H56&lt;&gt;"",I56&lt;&gt;""),ROW()-3,"")</f>
        <v/>
      </c>
      <c r="B56" s="20"/>
      <c r="C56" s="18"/>
      <c r="D56" s="21"/>
      <c r="E56" s="22" t="str">
        <f aca="false">IFERROR(INDEX(Comptes!$B$4:$B$50,MATCH($D56,Comptes!$A$4:$A$50,0)),"")</f>
        <v/>
      </c>
      <c r="F56" s="18"/>
      <c r="G56" s="21"/>
      <c r="H56" s="23"/>
      <c r="I56" s="23"/>
    </row>
    <row r="57" customFormat="false" ht="15" hidden="false" customHeight="false" outlineLevel="0" collapsed="false">
      <c r="A57" s="19" t="str">
        <f aca="false">IF(OR(H57&lt;&gt;"",I57&lt;&gt;""),ROW()-3,"")</f>
        <v/>
      </c>
      <c r="B57" s="20"/>
      <c r="C57" s="18"/>
      <c r="D57" s="21"/>
      <c r="E57" s="22" t="str">
        <f aca="false">IFERROR(INDEX(Comptes!$B$4:$B$50,MATCH($D57,Comptes!$A$4:$A$50,0)),"")</f>
        <v/>
      </c>
      <c r="F57" s="18"/>
      <c r="G57" s="21"/>
      <c r="H57" s="23"/>
      <c r="I57" s="23"/>
    </row>
    <row r="58" customFormat="false" ht="15" hidden="false" customHeight="false" outlineLevel="0" collapsed="false">
      <c r="A58" s="19" t="str">
        <f aca="false">IF(OR(H58&lt;&gt;"",I58&lt;&gt;""),ROW()-3,"")</f>
        <v/>
      </c>
      <c r="B58" s="20"/>
      <c r="C58" s="18"/>
      <c r="D58" s="21"/>
      <c r="E58" s="22" t="str">
        <f aca="false">IFERROR(INDEX(Comptes!$B$4:$B$50,MATCH($D58,Comptes!$A$4:$A$50,0)),"")</f>
        <v/>
      </c>
      <c r="F58" s="18"/>
      <c r="G58" s="21"/>
      <c r="H58" s="23"/>
      <c r="I58" s="23"/>
    </row>
    <row r="59" customFormat="false" ht="15" hidden="false" customHeight="false" outlineLevel="0" collapsed="false">
      <c r="A59" s="19" t="str">
        <f aca="false">IF(OR(H59&lt;&gt;"",I59&lt;&gt;""),ROW()-3,"")</f>
        <v/>
      </c>
      <c r="B59" s="20"/>
      <c r="C59" s="18"/>
      <c r="D59" s="21"/>
      <c r="E59" s="22" t="str">
        <f aca="false">IFERROR(INDEX(Comptes!$B$4:$B$50,MATCH($D59,Comptes!$A$4:$A$50,0)),"")</f>
        <v/>
      </c>
      <c r="F59" s="18"/>
      <c r="G59" s="21"/>
      <c r="H59" s="23"/>
      <c r="I59" s="23"/>
    </row>
    <row r="60" customFormat="false" ht="15" hidden="false" customHeight="false" outlineLevel="0" collapsed="false">
      <c r="A60" s="19" t="str">
        <f aca="false">IF(OR(H60&lt;&gt;"",I60&lt;&gt;""),ROW()-3,"")</f>
        <v/>
      </c>
      <c r="B60" s="20"/>
      <c r="C60" s="18"/>
      <c r="D60" s="21"/>
      <c r="E60" s="22" t="str">
        <f aca="false">IFERROR(INDEX(Comptes!$B$4:$B$50,MATCH($D60,Comptes!$A$4:$A$50,0)),"")</f>
        <v/>
      </c>
      <c r="F60" s="18"/>
      <c r="G60" s="21"/>
      <c r="H60" s="23"/>
      <c r="I60" s="23"/>
    </row>
    <row r="61" customFormat="false" ht="15" hidden="false" customHeight="false" outlineLevel="0" collapsed="false">
      <c r="A61" s="19" t="str">
        <f aca="false">IF(OR(H61&lt;&gt;"",I61&lt;&gt;""),ROW()-3,"")</f>
        <v/>
      </c>
      <c r="B61" s="20"/>
      <c r="C61" s="18"/>
      <c r="D61" s="21"/>
      <c r="E61" s="22" t="str">
        <f aca="false">IFERROR(INDEX(Comptes!$B$4:$B$50,MATCH($D61,Comptes!$A$4:$A$50,0)),"")</f>
        <v/>
      </c>
      <c r="F61" s="18"/>
      <c r="G61" s="21"/>
      <c r="H61" s="23"/>
      <c r="I61" s="23"/>
    </row>
    <row r="62" customFormat="false" ht="15" hidden="false" customHeight="false" outlineLevel="0" collapsed="false">
      <c r="A62" s="19" t="str">
        <f aca="false">IF(OR(H62&lt;&gt;"",I62&lt;&gt;""),ROW()-3,"")</f>
        <v/>
      </c>
      <c r="B62" s="20"/>
      <c r="C62" s="18"/>
      <c r="D62" s="21"/>
      <c r="E62" s="22" t="str">
        <f aca="false">IFERROR(INDEX(Comptes!$B$4:$B$50,MATCH($D62,Comptes!$A$4:$A$50,0)),"")</f>
        <v/>
      </c>
      <c r="F62" s="18"/>
      <c r="G62" s="21"/>
      <c r="H62" s="23"/>
      <c r="I62" s="23"/>
    </row>
    <row r="63" customFormat="false" ht="15" hidden="false" customHeight="false" outlineLevel="0" collapsed="false">
      <c r="A63" s="19" t="str">
        <f aca="false">IF(OR(H63&lt;&gt;"",I63&lt;&gt;""),ROW()-3,"")</f>
        <v/>
      </c>
      <c r="B63" s="20"/>
      <c r="C63" s="18"/>
      <c r="D63" s="21"/>
      <c r="E63" s="22" t="str">
        <f aca="false">IFERROR(INDEX(Comptes!$B$4:$B$50,MATCH($D63,Comptes!$A$4:$A$50,0)),"")</f>
        <v/>
      </c>
      <c r="F63" s="18"/>
      <c r="G63" s="21"/>
      <c r="H63" s="23"/>
      <c r="I63" s="23"/>
    </row>
    <row r="64" customFormat="false" ht="15" hidden="false" customHeight="false" outlineLevel="0" collapsed="false">
      <c r="A64" s="19" t="str">
        <f aca="false">IF(OR(H64&lt;&gt;"",I64&lt;&gt;""),ROW()-3,"")</f>
        <v/>
      </c>
      <c r="B64" s="20"/>
      <c r="C64" s="18"/>
      <c r="D64" s="21"/>
      <c r="E64" s="22" t="str">
        <f aca="false">IFERROR(INDEX(Comptes!$B$4:$B$50,MATCH($D64,Comptes!$A$4:$A$50,0)),"")</f>
        <v/>
      </c>
      <c r="F64" s="18"/>
      <c r="G64" s="21"/>
      <c r="H64" s="23"/>
      <c r="I64" s="23"/>
    </row>
    <row r="65" customFormat="false" ht="15" hidden="false" customHeight="false" outlineLevel="0" collapsed="false">
      <c r="A65" s="19" t="str">
        <f aca="false">IF(OR(H65&lt;&gt;"",I65&lt;&gt;""),ROW()-3,"")</f>
        <v/>
      </c>
      <c r="B65" s="20"/>
      <c r="C65" s="18"/>
      <c r="D65" s="21"/>
      <c r="E65" s="22" t="str">
        <f aca="false">IFERROR(INDEX(Comptes!$B$4:$B$50,MATCH($D65,Comptes!$A$4:$A$50,0)),"")</f>
        <v/>
      </c>
      <c r="F65" s="18"/>
      <c r="G65" s="21"/>
      <c r="H65" s="23"/>
      <c r="I65" s="23"/>
    </row>
    <row r="66" customFormat="false" ht="15" hidden="false" customHeight="false" outlineLevel="0" collapsed="false">
      <c r="A66" s="19" t="str">
        <f aca="false">IF(OR(H66&lt;&gt;"",I66&lt;&gt;""),ROW()-3,"")</f>
        <v/>
      </c>
      <c r="B66" s="20"/>
      <c r="C66" s="18"/>
      <c r="D66" s="21"/>
      <c r="E66" s="22" t="str">
        <f aca="false">IFERROR(INDEX(Comptes!$B$4:$B$50,MATCH($D66,Comptes!$A$4:$A$50,0)),"")</f>
        <v/>
      </c>
      <c r="F66" s="18"/>
      <c r="G66" s="21"/>
      <c r="H66" s="23"/>
      <c r="I66" s="23"/>
    </row>
    <row r="67" customFormat="false" ht="15" hidden="false" customHeight="false" outlineLevel="0" collapsed="false">
      <c r="A67" s="19" t="str">
        <f aca="false">IF(OR(H67&lt;&gt;"",I67&lt;&gt;""),ROW()-3,"")</f>
        <v/>
      </c>
      <c r="B67" s="20"/>
      <c r="C67" s="18"/>
      <c r="D67" s="21"/>
      <c r="E67" s="22" t="str">
        <f aca="false">IFERROR(INDEX(Comptes!$B$4:$B$50,MATCH($D67,Comptes!$A$4:$A$50,0)),"")</f>
        <v/>
      </c>
      <c r="F67" s="18"/>
      <c r="G67" s="21"/>
      <c r="H67" s="23"/>
      <c r="I67" s="23"/>
    </row>
    <row r="68" customFormat="false" ht="15" hidden="false" customHeight="false" outlineLevel="0" collapsed="false">
      <c r="A68" s="19" t="str">
        <f aca="false">IF(OR(H68&lt;&gt;"",I68&lt;&gt;""),ROW()-3,"")</f>
        <v/>
      </c>
      <c r="B68" s="20"/>
      <c r="C68" s="18"/>
      <c r="D68" s="21"/>
      <c r="E68" s="22" t="str">
        <f aca="false">IFERROR(INDEX(Comptes!$B$4:$B$50,MATCH($D68,Comptes!$A$4:$A$50,0)),"")</f>
        <v/>
      </c>
      <c r="F68" s="18"/>
      <c r="G68" s="21"/>
      <c r="H68" s="23"/>
      <c r="I68" s="23"/>
    </row>
    <row r="69" customFormat="false" ht="15" hidden="false" customHeight="false" outlineLevel="0" collapsed="false">
      <c r="A69" s="19" t="str">
        <f aca="false">IF(OR(H69&lt;&gt;"",I69&lt;&gt;""),ROW()-3,"")</f>
        <v/>
      </c>
      <c r="B69" s="20"/>
      <c r="C69" s="18"/>
      <c r="D69" s="21"/>
      <c r="E69" s="22" t="str">
        <f aca="false">IFERROR(INDEX(Comptes!$B$4:$B$50,MATCH($D69,Comptes!$A$4:$A$50,0)),"")</f>
        <v/>
      </c>
      <c r="F69" s="18"/>
      <c r="G69" s="21"/>
      <c r="H69" s="23"/>
      <c r="I69" s="23"/>
    </row>
    <row r="70" customFormat="false" ht="15" hidden="false" customHeight="false" outlineLevel="0" collapsed="false">
      <c r="A70" s="19" t="str">
        <f aca="false">IF(OR(H70&lt;&gt;"",I70&lt;&gt;""),ROW()-3,"")</f>
        <v/>
      </c>
      <c r="B70" s="20"/>
      <c r="C70" s="18"/>
      <c r="D70" s="21"/>
      <c r="E70" s="22" t="str">
        <f aca="false">IFERROR(INDEX(Comptes!$B$4:$B$50,MATCH($D70,Comptes!$A$4:$A$50,0)),"")</f>
        <v/>
      </c>
      <c r="F70" s="18"/>
      <c r="G70" s="21"/>
      <c r="H70" s="23"/>
      <c r="I70" s="23"/>
    </row>
    <row r="71" customFormat="false" ht="15" hidden="false" customHeight="false" outlineLevel="0" collapsed="false">
      <c r="A71" s="19" t="str">
        <f aca="false">IF(OR(H71&lt;&gt;"",I71&lt;&gt;""),ROW()-3,"")</f>
        <v/>
      </c>
      <c r="B71" s="20"/>
      <c r="C71" s="18"/>
      <c r="D71" s="21"/>
      <c r="E71" s="22" t="str">
        <f aca="false">IFERROR(INDEX(Comptes!$B$4:$B$50,MATCH($D71,Comptes!$A$4:$A$50,0)),"")</f>
        <v/>
      </c>
      <c r="F71" s="18"/>
      <c r="G71" s="21"/>
      <c r="H71" s="23"/>
      <c r="I71" s="23"/>
    </row>
    <row r="72" customFormat="false" ht="15" hidden="false" customHeight="false" outlineLevel="0" collapsed="false">
      <c r="A72" s="19" t="str">
        <f aca="false">IF(OR(H72&lt;&gt;"",I72&lt;&gt;""),ROW()-3,"")</f>
        <v/>
      </c>
      <c r="B72" s="20"/>
      <c r="C72" s="18"/>
      <c r="D72" s="21"/>
      <c r="E72" s="22" t="str">
        <f aca="false">IFERROR(INDEX(Comptes!$B$4:$B$50,MATCH($D72,Comptes!$A$4:$A$50,0)),"")</f>
        <v/>
      </c>
      <c r="F72" s="18"/>
      <c r="G72" s="21"/>
      <c r="H72" s="23"/>
      <c r="I72" s="23"/>
    </row>
    <row r="73" customFormat="false" ht="15" hidden="false" customHeight="false" outlineLevel="0" collapsed="false">
      <c r="A73" s="19" t="str">
        <f aca="false">IF(OR(H73&lt;&gt;"",I73&lt;&gt;""),ROW()-3,"")</f>
        <v/>
      </c>
      <c r="B73" s="20"/>
      <c r="C73" s="18"/>
      <c r="D73" s="21"/>
      <c r="E73" s="22" t="str">
        <f aca="false">IFERROR(INDEX(Comptes!$B$4:$B$50,MATCH($D73,Comptes!$A$4:$A$50,0)),"")</f>
        <v/>
      </c>
      <c r="F73" s="18"/>
      <c r="G73" s="21"/>
      <c r="H73" s="23"/>
      <c r="I73" s="23"/>
    </row>
    <row r="74" customFormat="false" ht="15" hidden="false" customHeight="false" outlineLevel="0" collapsed="false">
      <c r="A74" s="19" t="str">
        <f aca="false">IF(OR(H74&lt;&gt;"",I74&lt;&gt;""),ROW()-3,"")</f>
        <v/>
      </c>
      <c r="B74" s="20"/>
      <c r="C74" s="18"/>
      <c r="D74" s="21"/>
      <c r="E74" s="22" t="str">
        <f aca="false">IFERROR(INDEX(Comptes!$B$4:$B$50,MATCH($D74,Comptes!$A$4:$A$50,0)),"")</f>
        <v/>
      </c>
      <c r="F74" s="18"/>
      <c r="G74" s="21"/>
      <c r="H74" s="23"/>
      <c r="I74" s="23"/>
    </row>
    <row r="75" customFormat="false" ht="15" hidden="false" customHeight="false" outlineLevel="0" collapsed="false">
      <c r="A75" s="19" t="str">
        <f aca="false">IF(OR(H75&lt;&gt;"",I75&lt;&gt;""),ROW()-3,"")</f>
        <v/>
      </c>
      <c r="B75" s="20"/>
      <c r="C75" s="18"/>
      <c r="D75" s="21"/>
      <c r="E75" s="22" t="str">
        <f aca="false">IFERROR(INDEX(Comptes!$B$4:$B$50,MATCH($D75,Comptes!$A$4:$A$50,0)),"")</f>
        <v/>
      </c>
      <c r="F75" s="18"/>
      <c r="G75" s="21"/>
      <c r="H75" s="23"/>
      <c r="I75" s="23"/>
    </row>
    <row r="76" customFormat="false" ht="15" hidden="false" customHeight="false" outlineLevel="0" collapsed="false">
      <c r="A76" s="19" t="str">
        <f aca="false">IF(OR(H76&lt;&gt;"",I76&lt;&gt;""),ROW()-3,"")</f>
        <v/>
      </c>
      <c r="B76" s="20"/>
      <c r="C76" s="18"/>
      <c r="D76" s="21"/>
      <c r="E76" s="22" t="str">
        <f aca="false">IFERROR(INDEX(Comptes!$B$4:$B$50,MATCH($D76,Comptes!$A$4:$A$50,0)),"")</f>
        <v/>
      </c>
      <c r="F76" s="18"/>
      <c r="G76" s="21"/>
      <c r="H76" s="23"/>
      <c r="I76" s="23"/>
    </row>
    <row r="77" customFormat="false" ht="15" hidden="false" customHeight="false" outlineLevel="0" collapsed="false">
      <c r="A77" s="19" t="str">
        <f aca="false">IF(OR(H77&lt;&gt;"",I77&lt;&gt;""),ROW()-3,"")</f>
        <v/>
      </c>
      <c r="B77" s="20"/>
      <c r="C77" s="18"/>
      <c r="D77" s="21"/>
      <c r="E77" s="22" t="str">
        <f aca="false">IFERROR(INDEX(Comptes!$B$4:$B$50,MATCH($D77,Comptes!$A$4:$A$50,0)),"")</f>
        <v/>
      </c>
      <c r="F77" s="18"/>
      <c r="G77" s="21"/>
      <c r="H77" s="23"/>
      <c r="I77" s="23"/>
    </row>
    <row r="78" customFormat="false" ht="15" hidden="false" customHeight="false" outlineLevel="0" collapsed="false">
      <c r="A78" s="19" t="str">
        <f aca="false">IF(OR(H78&lt;&gt;"",I78&lt;&gt;""),ROW()-3,"")</f>
        <v/>
      </c>
      <c r="B78" s="20"/>
      <c r="C78" s="18"/>
      <c r="D78" s="21"/>
      <c r="E78" s="22" t="str">
        <f aca="false">IFERROR(INDEX(Comptes!$B$4:$B$50,MATCH($D78,Comptes!$A$4:$A$50,0)),"")</f>
        <v/>
      </c>
      <c r="F78" s="18"/>
      <c r="G78" s="21"/>
      <c r="H78" s="23"/>
      <c r="I78" s="23"/>
    </row>
    <row r="79" customFormat="false" ht="15" hidden="false" customHeight="false" outlineLevel="0" collapsed="false">
      <c r="A79" s="19" t="str">
        <f aca="false">IF(OR(H79&lt;&gt;"",I79&lt;&gt;""),ROW()-3,"")</f>
        <v/>
      </c>
      <c r="B79" s="20"/>
      <c r="C79" s="18"/>
      <c r="D79" s="21"/>
      <c r="E79" s="22" t="str">
        <f aca="false">IFERROR(INDEX(Comptes!$B$4:$B$50,MATCH($D79,Comptes!$A$4:$A$50,0)),"")</f>
        <v/>
      </c>
      <c r="F79" s="18"/>
      <c r="G79" s="21"/>
      <c r="H79" s="23"/>
      <c r="I79" s="23"/>
    </row>
    <row r="80" customFormat="false" ht="15" hidden="false" customHeight="false" outlineLevel="0" collapsed="false">
      <c r="A80" s="19" t="str">
        <f aca="false">IF(OR(H80&lt;&gt;"",I80&lt;&gt;""),ROW()-3,"")</f>
        <v/>
      </c>
      <c r="B80" s="20"/>
      <c r="C80" s="18"/>
      <c r="D80" s="21"/>
      <c r="E80" s="22" t="str">
        <f aca="false">IFERROR(INDEX(Comptes!$B$4:$B$50,MATCH($D80,Comptes!$A$4:$A$50,0)),"")</f>
        <v/>
      </c>
      <c r="F80" s="18"/>
      <c r="G80" s="21"/>
      <c r="H80" s="23"/>
      <c r="I80" s="23"/>
    </row>
    <row r="81" customFormat="false" ht="15" hidden="false" customHeight="false" outlineLevel="0" collapsed="false">
      <c r="A81" s="19" t="str">
        <f aca="false">IF(OR(H81&lt;&gt;"",I81&lt;&gt;""),ROW()-3,"")</f>
        <v/>
      </c>
      <c r="B81" s="20"/>
      <c r="C81" s="18"/>
      <c r="D81" s="21"/>
      <c r="E81" s="22" t="str">
        <f aca="false">IFERROR(INDEX(Comptes!$B$4:$B$50,MATCH($D81,Comptes!$A$4:$A$50,0)),"")</f>
        <v/>
      </c>
      <c r="F81" s="18"/>
      <c r="G81" s="21"/>
      <c r="H81" s="23"/>
      <c r="I81" s="23"/>
    </row>
    <row r="82" customFormat="false" ht="15" hidden="false" customHeight="false" outlineLevel="0" collapsed="false">
      <c r="A82" s="19" t="str">
        <f aca="false">IF(OR(H82&lt;&gt;"",I82&lt;&gt;""),ROW()-3,"")</f>
        <v/>
      </c>
      <c r="B82" s="20"/>
      <c r="C82" s="18"/>
      <c r="D82" s="21"/>
      <c r="E82" s="22" t="str">
        <f aca="false">IFERROR(INDEX(Comptes!$B$4:$B$50,MATCH($D82,Comptes!$A$4:$A$50,0)),"")</f>
        <v/>
      </c>
      <c r="F82" s="18"/>
      <c r="G82" s="21"/>
      <c r="H82" s="23"/>
      <c r="I82" s="23"/>
    </row>
    <row r="83" customFormat="false" ht="15" hidden="false" customHeight="false" outlineLevel="0" collapsed="false">
      <c r="A83" s="19" t="str">
        <f aca="false">IF(OR(H83&lt;&gt;"",I83&lt;&gt;""),ROW()-3,"")</f>
        <v/>
      </c>
      <c r="B83" s="20"/>
      <c r="C83" s="18"/>
      <c r="D83" s="21"/>
      <c r="E83" s="22" t="str">
        <f aca="false">IFERROR(INDEX(Comptes!$B$4:$B$50,MATCH($D83,Comptes!$A$4:$A$50,0)),"")</f>
        <v/>
      </c>
      <c r="F83" s="18"/>
      <c r="G83" s="21"/>
      <c r="H83" s="23"/>
      <c r="I83" s="23"/>
    </row>
    <row r="84" customFormat="false" ht="15" hidden="false" customHeight="false" outlineLevel="0" collapsed="false">
      <c r="A84" s="19" t="str">
        <f aca="false">IF(OR(H84&lt;&gt;"",I84&lt;&gt;""),ROW()-3,"")</f>
        <v/>
      </c>
      <c r="B84" s="20"/>
      <c r="C84" s="18"/>
      <c r="D84" s="21"/>
      <c r="E84" s="22" t="str">
        <f aca="false">IFERROR(INDEX(Comptes!$B$4:$B$50,MATCH($D84,Comptes!$A$4:$A$50,0)),"")</f>
        <v/>
      </c>
      <c r="F84" s="18"/>
      <c r="G84" s="21"/>
      <c r="H84" s="23"/>
      <c r="I84" s="23"/>
    </row>
    <row r="85" customFormat="false" ht="15" hidden="false" customHeight="false" outlineLevel="0" collapsed="false">
      <c r="A85" s="19" t="str">
        <f aca="false">IF(OR(H85&lt;&gt;"",I85&lt;&gt;""),ROW()-3,"")</f>
        <v/>
      </c>
      <c r="B85" s="20"/>
      <c r="C85" s="18"/>
      <c r="D85" s="21"/>
      <c r="E85" s="22" t="str">
        <f aca="false">IFERROR(INDEX(Comptes!$B$4:$B$50,MATCH($D85,Comptes!$A$4:$A$50,0)),"")</f>
        <v/>
      </c>
      <c r="F85" s="18"/>
      <c r="G85" s="21"/>
      <c r="H85" s="23"/>
      <c r="I85" s="23"/>
    </row>
    <row r="86" customFormat="false" ht="15" hidden="false" customHeight="false" outlineLevel="0" collapsed="false">
      <c r="A86" s="19" t="str">
        <f aca="false">IF(OR(H86&lt;&gt;"",I86&lt;&gt;""),ROW()-3,"")</f>
        <v/>
      </c>
      <c r="B86" s="20"/>
      <c r="C86" s="18"/>
      <c r="D86" s="21"/>
      <c r="E86" s="22" t="str">
        <f aca="false">IFERROR(INDEX(Comptes!$B$4:$B$50,MATCH($D86,Comptes!$A$4:$A$50,0)),"")</f>
        <v/>
      </c>
      <c r="F86" s="18"/>
      <c r="G86" s="21"/>
      <c r="H86" s="23"/>
      <c r="I86" s="23"/>
    </row>
    <row r="87" customFormat="false" ht="15" hidden="false" customHeight="false" outlineLevel="0" collapsed="false">
      <c r="A87" s="19" t="str">
        <f aca="false">IF(OR(H87&lt;&gt;"",I87&lt;&gt;""),ROW()-3,"")</f>
        <v/>
      </c>
      <c r="B87" s="20"/>
      <c r="C87" s="18"/>
      <c r="D87" s="21"/>
      <c r="E87" s="22" t="str">
        <f aca="false">IFERROR(INDEX(Comptes!$B$4:$B$50,MATCH($D87,Comptes!$A$4:$A$50,0)),"")</f>
        <v/>
      </c>
      <c r="F87" s="18"/>
      <c r="G87" s="21"/>
      <c r="H87" s="23"/>
      <c r="I87" s="23"/>
    </row>
    <row r="88" customFormat="false" ht="15" hidden="false" customHeight="false" outlineLevel="0" collapsed="false">
      <c r="A88" s="19" t="str">
        <f aca="false">IF(OR(H88&lt;&gt;"",I88&lt;&gt;""),ROW()-3,"")</f>
        <v/>
      </c>
      <c r="B88" s="20"/>
      <c r="C88" s="18"/>
      <c r="D88" s="21"/>
      <c r="E88" s="22" t="str">
        <f aca="false">IFERROR(INDEX(Comptes!$B$4:$B$50,MATCH($D88,Comptes!$A$4:$A$50,0)),"")</f>
        <v/>
      </c>
      <c r="F88" s="18"/>
      <c r="G88" s="21"/>
      <c r="H88" s="23"/>
      <c r="I88" s="23"/>
    </row>
    <row r="89" customFormat="false" ht="15" hidden="false" customHeight="false" outlineLevel="0" collapsed="false">
      <c r="A89" s="19" t="str">
        <f aca="false">IF(OR(H89&lt;&gt;"",I89&lt;&gt;""),ROW()-3,"")</f>
        <v/>
      </c>
      <c r="B89" s="20"/>
      <c r="C89" s="18"/>
      <c r="D89" s="21"/>
      <c r="E89" s="22" t="str">
        <f aca="false">IFERROR(INDEX(Comptes!$B$4:$B$50,MATCH($D89,Comptes!$A$4:$A$50,0)),"")</f>
        <v/>
      </c>
      <c r="F89" s="18"/>
      <c r="G89" s="21"/>
      <c r="H89" s="23"/>
      <c r="I89" s="23"/>
    </row>
    <row r="90" customFormat="false" ht="15" hidden="false" customHeight="false" outlineLevel="0" collapsed="false">
      <c r="A90" s="19" t="str">
        <f aca="false">IF(OR(H90&lt;&gt;"",I90&lt;&gt;""),ROW()-3,"")</f>
        <v/>
      </c>
      <c r="B90" s="20"/>
      <c r="C90" s="18"/>
      <c r="D90" s="21"/>
      <c r="E90" s="22" t="str">
        <f aca="false">IFERROR(INDEX(Comptes!$B$4:$B$50,MATCH($D90,Comptes!$A$4:$A$50,0)),"")</f>
        <v/>
      </c>
      <c r="F90" s="18"/>
      <c r="G90" s="21"/>
      <c r="H90" s="23"/>
      <c r="I90" s="23"/>
    </row>
    <row r="91" customFormat="false" ht="15" hidden="false" customHeight="false" outlineLevel="0" collapsed="false">
      <c r="A91" s="19" t="str">
        <f aca="false">IF(OR(H91&lt;&gt;"",I91&lt;&gt;""),ROW()-3,"")</f>
        <v/>
      </c>
      <c r="B91" s="20"/>
      <c r="C91" s="18"/>
      <c r="D91" s="21"/>
      <c r="E91" s="22" t="str">
        <f aca="false">IFERROR(INDEX(Comptes!$B$4:$B$50,MATCH($D91,Comptes!$A$4:$A$50,0)),"")</f>
        <v/>
      </c>
      <c r="F91" s="18"/>
      <c r="G91" s="21"/>
      <c r="H91" s="23"/>
      <c r="I91" s="23"/>
    </row>
    <row r="92" customFormat="false" ht="15" hidden="false" customHeight="false" outlineLevel="0" collapsed="false">
      <c r="A92" s="19" t="str">
        <f aca="false">IF(OR(H92&lt;&gt;"",I92&lt;&gt;""),ROW()-3,"")</f>
        <v/>
      </c>
      <c r="B92" s="20"/>
      <c r="C92" s="18"/>
      <c r="D92" s="21"/>
      <c r="E92" s="22" t="str">
        <f aca="false">IFERROR(INDEX(Comptes!$B$4:$B$50,MATCH($D92,Comptes!$A$4:$A$50,0)),"")</f>
        <v/>
      </c>
      <c r="F92" s="18"/>
      <c r="G92" s="21"/>
      <c r="H92" s="23"/>
      <c r="I92" s="23"/>
    </row>
    <row r="93" customFormat="false" ht="15" hidden="false" customHeight="false" outlineLevel="0" collapsed="false">
      <c r="A93" s="19" t="str">
        <f aca="false">IF(OR(H93&lt;&gt;"",I93&lt;&gt;""),ROW()-3,"")</f>
        <v/>
      </c>
      <c r="B93" s="20"/>
      <c r="C93" s="18"/>
      <c r="D93" s="21"/>
      <c r="E93" s="22" t="str">
        <f aca="false">IFERROR(INDEX(Comptes!$B$4:$B$50,MATCH($D93,Comptes!$A$4:$A$50,0)),"")</f>
        <v/>
      </c>
      <c r="F93" s="18"/>
      <c r="G93" s="21"/>
      <c r="H93" s="23"/>
      <c r="I93" s="23"/>
    </row>
    <row r="94" customFormat="false" ht="15" hidden="false" customHeight="false" outlineLevel="0" collapsed="false">
      <c r="A94" s="19" t="str">
        <f aca="false">IF(OR(H94&lt;&gt;"",I94&lt;&gt;""),ROW()-3,"")</f>
        <v/>
      </c>
      <c r="B94" s="20"/>
      <c r="C94" s="18"/>
      <c r="D94" s="21"/>
      <c r="E94" s="22" t="str">
        <f aca="false">IFERROR(INDEX(Comptes!$B$4:$B$50,MATCH($D94,Comptes!$A$4:$A$50,0)),"")</f>
        <v/>
      </c>
      <c r="F94" s="18"/>
      <c r="G94" s="21"/>
      <c r="H94" s="23"/>
      <c r="I94" s="23"/>
    </row>
    <row r="95" customFormat="false" ht="15" hidden="false" customHeight="false" outlineLevel="0" collapsed="false">
      <c r="A95" s="19" t="str">
        <f aca="false">IF(OR(H95&lt;&gt;"",I95&lt;&gt;""),ROW()-3,"")</f>
        <v/>
      </c>
      <c r="B95" s="20"/>
      <c r="C95" s="18"/>
      <c r="D95" s="21"/>
      <c r="E95" s="22" t="str">
        <f aca="false">IFERROR(INDEX(Comptes!$B$4:$B$50,MATCH($D95,Comptes!$A$4:$A$50,0)),"")</f>
        <v/>
      </c>
      <c r="F95" s="18"/>
      <c r="G95" s="21"/>
      <c r="H95" s="23"/>
      <c r="I95" s="23"/>
    </row>
    <row r="96" customFormat="false" ht="15" hidden="false" customHeight="false" outlineLevel="0" collapsed="false">
      <c r="A96" s="19" t="str">
        <f aca="false">IF(OR(H96&lt;&gt;"",I96&lt;&gt;""),ROW()-3,"")</f>
        <v/>
      </c>
      <c r="B96" s="20"/>
      <c r="C96" s="18"/>
      <c r="D96" s="21"/>
      <c r="E96" s="22" t="str">
        <f aca="false">IFERROR(INDEX(Comptes!$B$4:$B$50,MATCH($D96,Comptes!$A$4:$A$50,0)),"")</f>
        <v/>
      </c>
      <c r="F96" s="18"/>
      <c r="G96" s="21"/>
      <c r="H96" s="23"/>
      <c r="I96" s="23"/>
    </row>
    <row r="97" customFormat="false" ht="15" hidden="false" customHeight="false" outlineLevel="0" collapsed="false">
      <c r="A97" s="19" t="str">
        <f aca="false">IF(OR(H97&lt;&gt;"",I97&lt;&gt;""),ROW()-3,"")</f>
        <v/>
      </c>
      <c r="B97" s="20"/>
      <c r="C97" s="18"/>
      <c r="D97" s="21"/>
      <c r="E97" s="22" t="str">
        <f aca="false">IFERROR(INDEX(Comptes!$B$4:$B$50,MATCH($D97,Comptes!$A$4:$A$50,0)),"")</f>
        <v/>
      </c>
      <c r="F97" s="18"/>
      <c r="G97" s="21"/>
      <c r="H97" s="23"/>
      <c r="I97" s="23"/>
    </row>
    <row r="98" customFormat="false" ht="15" hidden="false" customHeight="false" outlineLevel="0" collapsed="false">
      <c r="A98" s="19" t="str">
        <f aca="false">IF(OR(H98&lt;&gt;"",I98&lt;&gt;""),ROW()-3,"")</f>
        <v/>
      </c>
      <c r="B98" s="20"/>
      <c r="C98" s="18"/>
      <c r="D98" s="21"/>
      <c r="E98" s="22" t="str">
        <f aca="false">IFERROR(INDEX(Comptes!$B$4:$B$50,MATCH($D98,Comptes!$A$4:$A$50,0)),"")</f>
        <v/>
      </c>
      <c r="F98" s="18"/>
      <c r="G98" s="21"/>
      <c r="H98" s="23"/>
      <c r="I98" s="23"/>
    </row>
    <row r="99" customFormat="false" ht="15" hidden="false" customHeight="false" outlineLevel="0" collapsed="false">
      <c r="A99" s="19" t="str">
        <f aca="false">IF(OR(H99&lt;&gt;"",I99&lt;&gt;""),ROW()-3,"")</f>
        <v/>
      </c>
      <c r="B99" s="20"/>
      <c r="C99" s="18"/>
      <c r="D99" s="21"/>
      <c r="E99" s="22" t="str">
        <f aca="false">IFERROR(INDEX(Comptes!$B$4:$B$50,MATCH($D99,Comptes!$A$4:$A$50,0)),"")</f>
        <v/>
      </c>
      <c r="F99" s="18"/>
      <c r="G99" s="21"/>
      <c r="H99" s="23"/>
      <c r="I99" s="23"/>
    </row>
    <row r="100" customFormat="false" ht="15" hidden="false" customHeight="false" outlineLevel="0" collapsed="false">
      <c r="A100" s="19" t="str">
        <f aca="false">IF(OR(H100&lt;&gt;"",I100&lt;&gt;""),ROW()-3,"")</f>
        <v/>
      </c>
      <c r="B100" s="20"/>
      <c r="C100" s="18"/>
      <c r="D100" s="21"/>
      <c r="E100" s="22" t="str">
        <f aca="false">IFERROR(INDEX(Comptes!$B$4:$B$50,MATCH($D100,Comptes!$A$4:$A$50,0)),"")</f>
        <v/>
      </c>
      <c r="F100" s="18"/>
      <c r="G100" s="21"/>
      <c r="H100" s="23"/>
      <c r="I100" s="23"/>
    </row>
    <row r="101" customFormat="false" ht="15" hidden="false" customHeight="false" outlineLevel="0" collapsed="false">
      <c r="A101" s="19" t="str">
        <f aca="false">IF(OR(H101&lt;&gt;"",I101&lt;&gt;""),ROW()-3,"")</f>
        <v/>
      </c>
      <c r="B101" s="20"/>
      <c r="C101" s="18"/>
      <c r="D101" s="21"/>
      <c r="E101" s="22" t="str">
        <f aca="false">IFERROR(INDEX(Comptes!$B$4:$B$50,MATCH($D101,Comptes!$A$4:$A$50,0)),"")</f>
        <v/>
      </c>
      <c r="F101" s="18"/>
      <c r="G101" s="21"/>
      <c r="H101" s="23"/>
      <c r="I101" s="23"/>
    </row>
    <row r="102" customFormat="false" ht="15" hidden="false" customHeight="false" outlineLevel="0" collapsed="false">
      <c r="A102" s="19" t="str">
        <f aca="false">IF(OR(H102&lt;&gt;"",I102&lt;&gt;""),ROW()-3,"")</f>
        <v/>
      </c>
      <c r="B102" s="20"/>
      <c r="C102" s="18"/>
      <c r="D102" s="21"/>
      <c r="E102" s="22" t="str">
        <f aca="false">IFERROR(INDEX(Comptes!$B$4:$B$50,MATCH($D102,Comptes!$A$4:$A$50,0)),"")</f>
        <v/>
      </c>
      <c r="F102" s="18"/>
      <c r="G102" s="21"/>
      <c r="H102" s="23"/>
      <c r="I102" s="23"/>
    </row>
    <row r="103" customFormat="false" ht="15" hidden="false" customHeight="false" outlineLevel="0" collapsed="false">
      <c r="A103" s="19" t="str">
        <f aca="false">IF(OR(H103&lt;&gt;"",I103&lt;&gt;""),ROW()-3,"")</f>
        <v/>
      </c>
      <c r="B103" s="20"/>
      <c r="C103" s="18"/>
      <c r="D103" s="21"/>
      <c r="E103" s="22" t="str">
        <f aca="false">IFERROR(INDEX(Comptes!$B$4:$B$50,MATCH($D103,Comptes!$A$4:$A$50,0)),"")</f>
        <v/>
      </c>
      <c r="F103" s="18"/>
      <c r="G103" s="21"/>
      <c r="H103" s="23"/>
      <c r="I103" s="23"/>
    </row>
    <row r="104" customFormat="false" ht="15" hidden="false" customHeight="false" outlineLevel="0" collapsed="false">
      <c r="A104" s="19" t="str">
        <f aca="false">IF(OR(H104&lt;&gt;"",I104&lt;&gt;""),ROW()-3,"")</f>
        <v/>
      </c>
      <c r="B104" s="20"/>
      <c r="C104" s="18"/>
      <c r="D104" s="21"/>
      <c r="E104" s="22" t="str">
        <f aca="false">IFERROR(INDEX(Comptes!$B$4:$B$50,MATCH($D104,Comptes!$A$4:$A$50,0)),"")</f>
        <v/>
      </c>
      <c r="F104" s="18"/>
      <c r="G104" s="21"/>
      <c r="H104" s="23"/>
      <c r="I104" s="23"/>
    </row>
    <row r="105" customFormat="false" ht="15" hidden="false" customHeight="false" outlineLevel="0" collapsed="false">
      <c r="A105" s="19" t="str">
        <f aca="false">IF(OR(H105&lt;&gt;"",I105&lt;&gt;""),ROW()-3,"")</f>
        <v/>
      </c>
      <c r="B105" s="20"/>
      <c r="C105" s="18"/>
      <c r="D105" s="21"/>
      <c r="E105" s="22" t="str">
        <f aca="false">IFERROR(INDEX(Comptes!$B$4:$B$50,MATCH($D105,Comptes!$A$4:$A$50,0)),"")</f>
        <v/>
      </c>
      <c r="F105" s="18"/>
      <c r="G105" s="21"/>
      <c r="H105" s="23"/>
      <c r="I105" s="23"/>
    </row>
    <row r="106" customFormat="false" ht="15" hidden="false" customHeight="false" outlineLevel="0" collapsed="false">
      <c r="A106" s="19" t="str">
        <f aca="false">IF(OR(H106&lt;&gt;"",I106&lt;&gt;""),ROW()-3,"")</f>
        <v/>
      </c>
      <c r="B106" s="20"/>
      <c r="C106" s="18"/>
      <c r="D106" s="21"/>
      <c r="E106" s="22" t="str">
        <f aca="false">IFERROR(INDEX(Comptes!$B$4:$B$50,MATCH($D106,Comptes!$A$4:$A$50,0)),"")</f>
        <v/>
      </c>
      <c r="F106" s="18"/>
      <c r="G106" s="21"/>
      <c r="H106" s="23"/>
      <c r="I106" s="23"/>
    </row>
    <row r="107" customFormat="false" ht="15" hidden="false" customHeight="false" outlineLevel="0" collapsed="false">
      <c r="A107" s="19" t="str">
        <f aca="false">IF(OR(H107&lt;&gt;"",I107&lt;&gt;""),ROW()-3,"")</f>
        <v/>
      </c>
      <c r="B107" s="20"/>
      <c r="C107" s="18"/>
      <c r="D107" s="21"/>
      <c r="E107" s="22" t="str">
        <f aca="false">IFERROR(INDEX(Comptes!$B$4:$B$50,MATCH($D107,Comptes!$A$4:$A$50,0)),"")</f>
        <v/>
      </c>
      <c r="F107" s="18"/>
      <c r="G107" s="21"/>
      <c r="H107" s="23"/>
      <c r="I107" s="23"/>
    </row>
    <row r="108" customFormat="false" ht="15" hidden="false" customHeight="false" outlineLevel="0" collapsed="false">
      <c r="A108" s="19" t="str">
        <f aca="false">IF(OR(H108&lt;&gt;"",I108&lt;&gt;""),ROW()-3,"")</f>
        <v/>
      </c>
      <c r="B108" s="20"/>
      <c r="C108" s="18"/>
      <c r="D108" s="21"/>
      <c r="E108" s="22" t="str">
        <f aca="false">IFERROR(INDEX(Comptes!$B$4:$B$50,MATCH($D108,Comptes!$A$4:$A$50,0)),"")</f>
        <v/>
      </c>
      <c r="F108" s="18"/>
      <c r="G108" s="21"/>
      <c r="H108" s="23"/>
      <c r="I108" s="23"/>
    </row>
    <row r="109" customFormat="false" ht="15" hidden="false" customHeight="false" outlineLevel="0" collapsed="false">
      <c r="A109" s="19" t="str">
        <f aca="false">IF(OR(H109&lt;&gt;"",I109&lt;&gt;""),ROW()-3,"")</f>
        <v/>
      </c>
      <c r="B109" s="20"/>
      <c r="C109" s="18"/>
      <c r="D109" s="21"/>
      <c r="E109" s="22" t="str">
        <f aca="false">IFERROR(INDEX(Comptes!$B$4:$B$50,MATCH($D109,Comptes!$A$4:$A$50,0)),"")</f>
        <v/>
      </c>
      <c r="F109" s="18"/>
      <c r="G109" s="21"/>
      <c r="H109" s="23"/>
      <c r="I109" s="23"/>
    </row>
    <row r="110" customFormat="false" ht="15" hidden="false" customHeight="false" outlineLevel="0" collapsed="false">
      <c r="A110" s="19" t="str">
        <f aca="false">IF(OR(H110&lt;&gt;"",I110&lt;&gt;""),ROW()-3,"")</f>
        <v/>
      </c>
      <c r="B110" s="20"/>
      <c r="C110" s="18"/>
      <c r="D110" s="21"/>
      <c r="E110" s="22" t="str">
        <f aca="false">IFERROR(INDEX(Comptes!$B$4:$B$50,MATCH($D110,Comptes!$A$4:$A$50,0)),"")</f>
        <v/>
      </c>
      <c r="F110" s="18"/>
      <c r="G110" s="21"/>
      <c r="H110" s="23"/>
      <c r="I110" s="23"/>
    </row>
    <row r="111" customFormat="false" ht="15" hidden="false" customHeight="false" outlineLevel="0" collapsed="false">
      <c r="A111" s="19" t="str">
        <f aca="false">IF(OR(H111&lt;&gt;"",I111&lt;&gt;""),ROW()-3,"")</f>
        <v/>
      </c>
      <c r="B111" s="20"/>
      <c r="C111" s="18"/>
      <c r="D111" s="21"/>
      <c r="E111" s="22" t="str">
        <f aca="false">IFERROR(INDEX(Comptes!$B$4:$B$50,MATCH($D111,Comptes!$A$4:$A$50,0)),"")</f>
        <v/>
      </c>
      <c r="F111" s="18"/>
      <c r="G111" s="21"/>
      <c r="H111" s="23"/>
      <c r="I111" s="23"/>
    </row>
    <row r="112" customFormat="false" ht="15" hidden="false" customHeight="false" outlineLevel="0" collapsed="false">
      <c r="A112" s="19" t="str">
        <f aca="false">IF(OR(H112&lt;&gt;"",I112&lt;&gt;""),ROW()-3,"")</f>
        <v/>
      </c>
      <c r="B112" s="20"/>
      <c r="C112" s="18"/>
      <c r="D112" s="21"/>
      <c r="E112" s="22" t="str">
        <f aca="false">IFERROR(INDEX(Comptes!$B$4:$B$50,MATCH($D112,Comptes!$A$4:$A$50,0)),"")</f>
        <v/>
      </c>
      <c r="F112" s="18"/>
      <c r="G112" s="21"/>
      <c r="H112" s="23"/>
      <c r="I112" s="23"/>
    </row>
    <row r="113" customFormat="false" ht="15" hidden="false" customHeight="false" outlineLevel="0" collapsed="false">
      <c r="A113" s="19" t="str">
        <f aca="false">IF(OR(H113&lt;&gt;"",I113&lt;&gt;""),ROW()-3,"")</f>
        <v/>
      </c>
      <c r="B113" s="20"/>
      <c r="C113" s="18"/>
      <c r="D113" s="21"/>
      <c r="E113" s="22" t="str">
        <f aca="false">IFERROR(INDEX(Comptes!$B$4:$B$50,MATCH($D113,Comptes!$A$4:$A$50,0)),"")</f>
        <v/>
      </c>
      <c r="F113" s="18"/>
      <c r="G113" s="21"/>
      <c r="H113" s="23"/>
      <c r="I113" s="23"/>
    </row>
    <row r="114" customFormat="false" ht="15" hidden="false" customHeight="false" outlineLevel="0" collapsed="false">
      <c r="A114" s="19" t="str">
        <f aca="false">IF(OR(H114&lt;&gt;"",I114&lt;&gt;""),ROW()-3,"")</f>
        <v/>
      </c>
      <c r="B114" s="20"/>
      <c r="C114" s="18"/>
      <c r="D114" s="21"/>
      <c r="E114" s="22" t="str">
        <f aca="false">IFERROR(INDEX(Comptes!$B$4:$B$50,MATCH($D114,Comptes!$A$4:$A$50,0)),"")</f>
        <v/>
      </c>
      <c r="F114" s="18"/>
      <c r="G114" s="21"/>
      <c r="H114" s="23"/>
      <c r="I114" s="23"/>
    </row>
    <row r="115" customFormat="false" ht="15" hidden="false" customHeight="false" outlineLevel="0" collapsed="false">
      <c r="A115" s="19" t="str">
        <f aca="false">IF(OR(H115&lt;&gt;"",I115&lt;&gt;""),ROW()-3,"")</f>
        <v/>
      </c>
      <c r="B115" s="20"/>
      <c r="C115" s="18"/>
      <c r="D115" s="21"/>
      <c r="E115" s="22" t="str">
        <f aca="false">IFERROR(INDEX(Comptes!$B$4:$B$50,MATCH($D115,Comptes!$A$4:$A$50,0)),"")</f>
        <v/>
      </c>
      <c r="F115" s="18"/>
      <c r="G115" s="21"/>
      <c r="H115" s="23"/>
      <c r="I115" s="23"/>
    </row>
    <row r="116" customFormat="false" ht="15" hidden="false" customHeight="false" outlineLevel="0" collapsed="false">
      <c r="A116" s="19" t="str">
        <f aca="false">IF(OR(H116&lt;&gt;"",I116&lt;&gt;""),ROW()-3,"")</f>
        <v/>
      </c>
      <c r="B116" s="20"/>
      <c r="C116" s="18"/>
      <c r="D116" s="21"/>
      <c r="E116" s="22" t="str">
        <f aca="false">IFERROR(INDEX(Comptes!$B$4:$B$50,MATCH($D116,Comptes!$A$4:$A$50,0)),"")</f>
        <v/>
      </c>
      <c r="F116" s="18"/>
      <c r="G116" s="21"/>
      <c r="H116" s="23"/>
      <c r="I116" s="23"/>
    </row>
    <row r="117" customFormat="false" ht="15" hidden="false" customHeight="false" outlineLevel="0" collapsed="false">
      <c r="A117" s="19" t="str">
        <f aca="false">IF(OR(H117&lt;&gt;"",I117&lt;&gt;""),ROW()-3,"")</f>
        <v/>
      </c>
      <c r="B117" s="20"/>
      <c r="C117" s="18"/>
      <c r="D117" s="21"/>
      <c r="E117" s="22" t="str">
        <f aca="false">IFERROR(INDEX(Comptes!$B$4:$B$50,MATCH($D117,Comptes!$A$4:$A$50,0)),"")</f>
        <v/>
      </c>
      <c r="F117" s="18"/>
      <c r="G117" s="21"/>
      <c r="H117" s="23"/>
      <c r="I117" s="23"/>
    </row>
    <row r="118" customFormat="false" ht="15" hidden="false" customHeight="false" outlineLevel="0" collapsed="false">
      <c r="A118" s="19" t="str">
        <f aca="false">IF(OR(H118&lt;&gt;"",I118&lt;&gt;""),ROW()-3,"")</f>
        <v/>
      </c>
      <c r="B118" s="20"/>
      <c r="C118" s="18"/>
      <c r="D118" s="21"/>
      <c r="E118" s="22" t="str">
        <f aca="false">IFERROR(INDEX(Comptes!$B$4:$B$50,MATCH($D118,Comptes!$A$4:$A$50,0)),"")</f>
        <v/>
      </c>
      <c r="F118" s="18"/>
      <c r="G118" s="21"/>
      <c r="H118" s="23"/>
      <c r="I118" s="23"/>
    </row>
    <row r="119" customFormat="false" ht="15" hidden="false" customHeight="false" outlineLevel="0" collapsed="false">
      <c r="A119" s="19" t="str">
        <f aca="false">IF(OR(H119&lt;&gt;"",I119&lt;&gt;""),ROW()-3,"")</f>
        <v/>
      </c>
      <c r="B119" s="20"/>
      <c r="C119" s="18"/>
      <c r="D119" s="21"/>
      <c r="E119" s="22" t="str">
        <f aca="false">IFERROR(INDEX(Comptes!$B$4:$B$50,MATCH($D119,Comptes!$A$4:$A$50,0)),"")</f>
        <v/>
      </c>
      <c r="F119" s="18"/>
      <c r="G119" s="21"/>
      <c r="H119" s="23"/>
      <c r="I119" s="23"/>
    </row>
    <row r="120" customFormat="false" ht="15" hidden="false" customHeight="false" outlineLevel="0" collapsed="false">
      <c r="A120" s="19" t="str">
        <f aca="false">IF(OR(H120&lt;&gt;"",I120&lt;&gt;""),ROW()-3,"")</f>
        <v/>
      </c>
      <c r="B120" s="20"/>
      <c r="C120" s="18"/>
      <c r="D120" s="21"/>
      <c r="E120" s="22" t="str">
        <f aca="false">IFERROR(INDEX(Comptes!$B$4:$B$50,MATCH($D120,Comptes!$A$4:$A$50,0)),"")</f>
        <v/>
      </c>
      <c r="F120" s="18"/>
      <c r="G120" s="21"/>
      <c r="H120" s="23"/>
      <c r="I120" s="23"/>
    </row>
    <row r="121" customFormat="false" ht="15" hidden="false" customHeight="false" outlineLevel="0" collapsed="false">
      <c r="A121" s="19" t="str">
        <f aca="false">IF(OR(H121&lt;&gt;"",I121&lt;&gt;""),ROW()-3,"")</f>
        <v/>
      </c>
      <c r="B121" s="20"/>
      <c r="C121" s="18"/>
      <c r="D121" s="21"/>
      <c r="E121" s="22" t="str">
        <f aca="false">IFERROR(INDEX(Comptes!$B$4:$B$50,MATCH($D121,Comptes!$A$4:$A$50,0)),"")</f>
        <v/>
      </c>
      <c r="F121" s="18"/>
      <c r="G121" s="21"/>
      <c r="H121" s="23"/>
      <c r="I121" s="23"/>
    </row>
    <row r="122" customFormat="false" ht="15" hidden="false" customHeight="false" outlineLevel="0" collapsed="false">
      <c r="A122" s="19" t="str">
        <f aca="false">IF(OR(H122&lt;&gt;"",I122&lt;&gt;""),ROW()-3,"")</f>
        <v/>
      </c>
      <c r="B122" s="20"/>
      <c r="C122" s="18"/>
      <c r="D122" s="21"/>
      <c r="E122" s="22" t="str">
        <f aca="false">IFERROR(INDEX(Comptes!$B$4:$B$50,MATCH($D122,Comptes!$A$4:$A$50,0)),"")</f>
        <v/>
      </c>
      <c r="F122" s="18"/>
      <c r="G122" s="21"/>
      <c r="H122" s="23"/>
      <c r="I122" s="23"/>
    </row>
    <row r="123" customFormat="false" ht="15" hidden="false" customHeight="false" outlineLevel="0" collapsed="false">
      <c r="A123" s="19" t="str">
        <f aca="false">IF(OR(H123&lt;&gt;"",I123&lt;&gt;""),ROW()-3,"")</f>
        <v/>
      </c>
      <c r="B123" s="20"/>
      <c r="C123" s="18"/>
      <c r="D123" s="21"/>
      <c r="E123" s="22" t="str">
        <f aca="false">IFERROR(INDEX(Comptes!$B$4:$B$50,MATCH($D123,Comptes!$A$4:$A$50,0)),"")</f>
        <v/>
      </c>
      <c r="F123" s="18"/>
      <c r="G123" s="21"/>
      <c r="H123" s="23"/>
      <c r="I123" s="23"/>
    </row>
    <row r="124" customFormat="false" ht="15" hidden="false" customHeight="false" outlineLevel="0" collapsed="false">
      <c r="A124" s="19" t="str">
        <f aca="false">IF(OR(H124&lt;&gt;"",I124&lt;&gt;""),ROW()-3,"")</f>
        <v/>
      </c>
      <c r="B124" s="20"/>
      <c r="C124" s="18"/>
      <c r="D124" s="21"/>
      <c r="E124" s="22" t="str">
        <f aca="false">IFERROR(INDEX(Comptes!$B$4:$B$50,MATCH($D124,Comptes!$A$4:$A$50,0)),"")</f>
        <v/>
      </c>
      <c r="F124" s="18"/>
      <c r="G124" s="21"/>
      <c r="H124" s="23"/>
      <c r="I124" s="23"/>
    </row>
    <row r="125" customFormat="false" ht="15" hidden="false" customHeight="false" outlineLevel="0" collapsed="false">
      <c r="A125" s="19" t="str">
        <f aca="false">IF(OR(H125&lt;&gt;"",I125&lt;&gt;""),ROW()-3,"")</f>
        <v/>
      </c>
      <c r="B125" s="20"/>
      <c r="C125" s="18"/>
      <c r="D125" s="21"/>
      <c r="E125" s="22" t="str">
        <f aca="false">IFERROR(INDEX(Comptes!$B$4:$B$50,MATCH($D125,Comptes!$A$4:$A$50,0)),"")</f>
        <v/>
      </c>
      <c r="F125" s="18"/>
      <c r="G125" s="21"/>
      <c r="H125" s="23"/>
      <c r="I125" s="23"/>
    </row>
    <row r="126" customFormat="false" ht="15" hidden="false" customHeight="false" outlineLevel="0" collapsed="false">
      <c r="A126" s="19" t="str">
        <f aca="false">IF(OR(H126&lt;&gt;"",I126&lt;&gt;""),ROW()-3,"")</f>
        <v/>
      </c>
      <c r="B126" s="20"/>
      <c r="C126" s="18"/>
      <c r="D126" s="21"/>
      <c r="E126" s="22" t="str">
        <f aca="false">IFERROR(INDEX(Comptes!$B$4:$B$50,MATCH($D126,Comptes!$A$4:$A$50,0)),"")</f>
        <v/>
      </c>
      <c r="F126" s="18"/>
      <c r="G126" s="21"/>
      <c r="H126" s="23"/>
      <c r="I126" s="23"/>
    </row>
    <row r="127" customFormat="false" ht="15" hidden="false" customHeight="false" outlineLevel="0" collapsed="false">
      <c r="A127" s="19" t="str">
        <f aca="false">IF(OR(H127&lt;&gt;"",I127&lt;&gt;""),ROW()-3,"")</f>
        <v/>
      </c>
      <c r="B127" s="20"/>
      <c r="C127" s="18"/>
      <c r="D127" s="21"/>
      <c r="E127" s="22" t="str">
        <f aca="false">IFERROR(INDEX(Comptes!$B$4:$B$50,MATCH($D127,Comptes!$A$4:$A$50,0)),"")</f>
        <v/>
      </c>
      <c r="F127" s="18"/>
      <c r="G127" s="21"/>
      <c r="H127" s="23"/>
      <c r="I127" s="23"/>
    </row>
    <row r="128" customFormat="false" ht="15" hidden="false" customHeight="false" outlineLevel="0" collapsed="false">
      <c r="A128" s="19" t="str">
        <f aca="false">IF(OR(H128&lt;&gt;"",I128&lt;&gt;""),ROW()-3,"")</f>
        <v/>
      </c>
      <c r="B128" s="20"/>
      <c r="C128" s="18"/>
      <c r="D128" s="21"/>
      <c r="E128" s="22" t="str">
        <f aca="false">IFERROR(INDEX(Comptes!$B$4:$B$50,MATCH($D128,Comptes!$A$4:$A$50,0)),"")</f>
        <v/>
      </c>
      <c r="F128" s="18"/>
      <c r="G128" s="21"/>
      <c r="H128" s="23"/>
      <c r="I128" s="23"/>
    </row>
    <row r="129" customFormat="false" ht="15" hidden="false" customHeight="false" outlineLevel="0" collapsed="false">
      <c r="A129" s="19" t="str">
        <f aca="false">IF(OR(H129&lt;&gt;"",I129&lt;&gt;""),ROW()-3,"")</f>
        <v/>
      </c>
      <c r="B129" s="20"/>
      <c r="C129" s="18"/>
      <c r="D129" s="21"/>
      <c r="E129" s="22" t="str">
        <f aca="false">IFERROR(INDEX(Comptes!$B$4:$B$50,MATCH($D129,Comptes!$A$4:$A$50,0)),"")</f>
        <v/>
      </c>
      <c r="F129" s="18"/>
      <c r="G129" s="21"/>
      <c r="H129" s="23"/>
      <c r="I129" s="23"/>
    </row>
    <row r="130" customFormat="false" ht="15" hidden="false" customHeight="false" outlineLevel="0" collapsed="false">
      <c r="A130" s="19" t="str">
        <f aca="false">IF(OR(H130&lt;&gt;"",I130&lt;&gt;""),ROW()-3,"")</f>
        <v/>
      </c>
      <c r="B130" s="20"/>
      <c r="C130" s="18"/>
      <c r="D130" s="21"/>
      <c r="E130" s="22" t="str">
        <f aca="false">IFERROR(INDEX(Comptes!$B$4:$B$50,MATCH($D130,Comptes!$A$4:$A$50,0)),"")</f>
        <v/>
      </c>
      <c r="F130" s="18"/>
      <c r="G130" s="21"/>
      <c r="H130" s="23"/>
      <c r="I130" s="23"/>
    </row>
    <row r="131" customFormat="false" ht="15" hidden="false" customHeight="false" outlineLevel="0" collapsed="false">
      <c r="A131" s="19" t="str">
        <f aca="false">IF(OR(H131&lt;&gt;"",I131&lt;&gt;""),ROW()-3,"")</f>
        <v/>
      </c>
      <c r="B131" s="20"/>
      <c r="C131" s="18"/>
      <c r="D131" s="21"/>
      <c r="E131" s="22" t="str">
        <f aca="false">IFERROR(INDEX(Comptes!$B$4:$B$50,MATCH($D131,Comptes!$A$4:$A$50,0)),"")</f>
        <v/>
      </c>
      <c r="F131" s="18"/>
      <c r="G131" s="21"/>
      <c r="H131" s="23"/>
      <c r="I131" s="23"/>
    </row>
    <row r="132" customFormat="false" ht="15" hidden="false" customHeight="false" outlineLevel="0" collapsed="false">
      <c r="A132" s="19" t="str">
        <f aca="false">IF(OR(H132&lt;&gt;"",I132&lt;&gt;""),ROW()-3,"")</f>
        <v/>
      </c>
      <c r="B132" s="20"/>
      <c r="C132" s="18"/>
      <c r="D132" s="21"/>
      <c r="E132" s="22" t="str">
        <f aca="false">IFERROR(INDEX(Comptes!$B$4:$B$50,MATCH($D132,Comptes!$A$4:$A$50,0)),"")</f>
        <v/>
      </c>
      <c r="F132" s="18"/>
      <c r="G132" s="21"/>
      <c r="H132" s="23"/>
      <c r="I132" s="23"/>
    </row>
    <row r="133" customFormat="false" ht="15" hidden="false" customHeight="false" outlineLevel="0" collapsed="false">
      <c r="A133" s="19" t="str">
        <f aca="false">IF(OR(H133&lt;&gt;"",I133&lt;&gt;""),ROW()-3,"")</f>
        <v/>
      </c>
      <c r="B133" s="20"/>
      <c r="C133" s="18"/>
      <c r="D133" s="21"/>
      <c r="E133" s="22" t="str">
        <f aca="false">IFERROR(INDEX(Comptes!$B$4:$B$50,MATCH($D133,Comptes!$A$4:$A$50,0)),"")</f>
        <v/>
      </c>
      <c r="F133" s="18"/>
      <c r="G133" s="21"/>
      <c r="H133" s="23"/>
      <c r="I133" s="23"/>
    </row>
    <row r="134" customFormat="false" ht="15" hidden="false" customHeight="false" outlineLevel="0" collapsed="false">
      <c r="A134" s="19" t="str">
        <f aca="false">IF(OR(H134&lt;&gt;"",I134&lt;&gt;""),ROW()-3,"")</f>
        <v/>
      </c>
      <c r="B134" s="20"/>
      <c r="C134" s="18"/>
      <c r="D134" s="21"/>
      <c r="E134" s="22" t="str">
        <f aca="false">IFERROR(INDEX(Comptes!$B$4:$B$50,MATCH($D134,Comptes!$A$4:$A$50,0)),"")</f>
        <v/>
      </c>
      <c r="F134" s="18"/>
      <c r="G134" s="21"/>
      <c r="H134" s="23"/>
      <c r="I134" s="23"/>
    </row>
    <row r="135" customFormat="false" ht="15" hidden="false" customHeight="false" outlineLevel="0" collapsed="false">
      <c r="A135" s="19" t="str">
        <f aca="false">IF(OR(H135&lt;&gt;"",I135&lt;&gt;""),ROW()-3,"")</f>
        <v/>
      </c>
      <c r="B135" s="20"/>
      <c r="C135" s="18"/>
      <c r="D135" s="21"/>
      <c r="E135" s="22" t="str">
        <f aca="false">IFERROR(INDEX(Comptes!$B$4:$B$50,MATCH($D135,Comptes!$A$4:$A$50,0)),"")</f>
        <v/>
      </c>
      <c r="F135" s="18"/>
      <c r="G135" s="21"/>
      <c r="H135" s="23"/>
      <c r="I135" s="23"/>
    </row>
    <row r="136" customFormat="false" ht="15" hidden="false" customHeight="false" outlineLevel="0" collapsed="false">
      <c r="A136" s="19" t="str">
        <f aca="false">IF(OR(H136&lt;&gt;"",I136&lt;&gt;""),ROW()-3,"")</f>
        <v/>
      </c>
      <c r="B136" s="20"/>
      <c r="C136" s="18"/>
      <c r="D136" s="21"/>
      <c r="E136" s="22" t="str">
        <f aca="false">IFERROR(INDEX(Comptes!$B$4:$B$50,MATCH($D136,Comptes!$A$4:$A$50,0)),"")</f>
        <v/>
      </c>
      <c r="F136" s="18"/>
      <c r="G136" s="21"/>
      <c r="H136" s="23"/>
      <c r="I136" s="23"/>
    </row>
    <row r="137" customFormat="false" ht="15" hidden="false" customHeight="false" outlineLevel="0" collapsed="false">
      <c r="A137" s="19" t="str">
        <f aca="false">IF(OR(H137&lt;&gt;"",I137&lt;&gt;""),ROW()-3,"")</f>
        <v/>
      </c>
      <c r="B137" s="20"/>
      <c r="C137" s="18"/>
      <c r="D137" s="21"/>
      <c r="E137" s="22" t="str">
        <f aca="false">IFERROR(INDEX(Comptes!$B$4:$B$50,MATCH($D137,Comptes!$A$4:$A$50,0)),"")</f>
        <v/>
      </c>
      <c r="F137" s="18"/>
      <c r="G137" s="21"/>
      <c r="H137" s="23"/>
      <c r="I137" s="23"/>
    </row>
    <row r="138" customFormat="false" ht="15" hidden="false" customHeight="false" outlineLevel="0" collapsed="false">
      <c r="A138" s="19" t="str">
        <f aca="false">IF(OR(H138&lt;&gt;"",I138&lt;&gt;""),ROW()-3,"")</f>
        <v/>
      </c>
      <c r="B138" s="20"/>
      <c r="C138" s="18"/>
      <c r="D138" s="21"/>
      <c r="E138" s="22" t="str">
        <f aca="false">IFERROR(INDEX(Comptes!$B$4:$B$50,MATCH($D138,Comptes!$A$4:$A$50,0)),"")</f>
        <v/>
      </c>
      <c r="F138" s="18"/>
      <c r="G138" s="21"/>
      <c r="H138" s="23"/>
      <c r="I138" s="23"/>
    </row>
    <row r="139" customFormat="false" ht="15" hidden="false" customHeight="false" outlineLevel="0" collapsed="false">
      <c r="A139" s="19" t="str">
        <f aca="false">IF(OR(H139&lt;&gt;"",I139&lt;&gt;""),ROW()-3,"")</f>
        <v/>
      </c>
      <c r="B139" s="20"/>
      <c r="C139" s="18"/>
      <c r="D139" s="21"/>
      <c r="E139" s="22" t="str">
        <f aca="false">IFERROR(INDEX(Comptes!$B$4:$B$50,MATCH($D139,Comptes!$A$4:$A$50,0)),"")</f>
        <v/>
      </c>
      <c r="F139" s="18"/>
      <c r="G139" s="21"/>
      <c r="H139" s="23"/>
      <c r="I139" s="23"/>
    </row>
    <row r="140" customFormat="false" ht="15" hidden="false" customHeight="false" outlineLevel="0" collapsed="false">
      <c r="A140" s="19" t="str">
        <f aca="false">IF(OR(H140&lt;&gt;"",I140&lt;&gt;""),ROW()-3,"")</f>
        <v/>
      </c>
      <c r="B140" s="20"/>
      <c r="C140" s="18"/>
      <c r="D140" s="21"/>
      <c r="E140" s="22" t="str">
        <f aca="false">IFERROR(INDEX(Comptes!$B$4:$B$50,MATCH($D140,Comptes!$A$4:$A$50,0)),"")</f>
        <v/>
      </c>
      <c r="F140" s="18"/>
      <c r="G140" s="21"/>
      <c r="H140" s="23"/>
      <c r="I140" s="23"/>
    </row>
    <row r="141" customFormat="false" ht="15" hidden="false" customHeight="false" outlineLevel="0" collapsed="false">
      <c r="A141" s="19" t="str">
        <f aca="false">IF(OR(H141&lt;&gt;"",I141&lt;&gt;""),ROW()-3,"")</f>
        <v/>
      </c>
      <c r="B141" s="20"/>
      <c r="C141" s="18"/>
      <c r="D141" s="21"/>
      <c r="E141" s="22" t="str">
        <f aca="false">IFERROR(INDEX(Comptes!$B$4:$B$50,MATCH($D141,Comptes!$A$4:$A$50,0)),"")</f>
        <v/>
      </c>
      <c r="F141" s="18"/>
      <c r="G141" s="21"/>
      <c r="H141" s="23"/>
      <c r="I141" s="23"/>
    </row>
    <row r="142" customFormat="false" ht="15" hidden="false" customHeight="false" outlineLevel="0" collapsed="false">
      <c r="A142" s="19" t="str">
        <f aca="false">IF(OR(H142&lt;&gt;"",I142&lt;&gt;""),ROW()-3,"")</f>
        <v/>
      </c>
      <c r="B142" s="20"/>
      <c r="C142" s="18"/>
      <c r="D142" s="21"/>
      <c r="E142" s="22" t="str">
        <f aca="false">IFERROR(INDEX(Comptes!$B$4:$B$50,MATCH($D142,Comptes!$A$4:$A$50,0)),"")</f>
        <v/>
      </c>
      <c r="F142" s="18"/>
      <c r="G142" s="21"/>
      <c r="H142" s="23"/>
      <c r="I142" s="23"/>
    </row>
    <row r="143" customFormat="false" ht="15" hidden="false" customHeight="false" outlineLevel="0" collapsed="false">
      <c r="A143" s="19" t="str">
        <f aca="false">IF(OR(H143&lt;&gt;"",I143&lt;&gt;""),ROW()-3,"")</f>
        <v/>
      </c>
      <c r="B143" s="20"/>
      <c r="C143" s="18"/>
      <c r="D143" s="21"/>
      <c r="E143" s="22" t="str">
        <f aca="false">IFERROR(INDEX(Comptes!$B$4:$B$50,MATCH($D143,Comptes!$A$4:$A$50,0)),"")</f>
        <v/>
      </c>
      <c r="F143" s="18"/>
      <c r="G143" s="21"/>
      <c r="H143" s="23"/>
      <c r="I143" s="23"/>
    </row>
    <row r="144" customFormat="false" ht="15" hidden="false" customHeight="false" outlineLevel="0" collapsed="false">
      <c r="A144" s="19" t="str">
        <f aca="false">IF(OR(H144&lt;&gt;"",I144&lt;&gt;""),ROW()-3,"")</f>
        <v/>
      </c>
      <c r="B144" s="20"/>
      <c r="C144" s="18"/>
      <c r="D144" s="21"/>
      <c r="E144" s="22" t="str">
        <f aca="false">IFERROR(INDEX(Comptes!$B$4:$B$50,MATCH($D144,Comptes!$A$4:$A$50,0)),"")</f>
        <v/>
      </c>
      <c r="F144" s="18"/>
      <c r="G144" s="21"/>
      <c r="H144" s="23"/>
      <c r="I144" s="23"/>
    </row>
    <row r="145" customFormat="false" ht="15" hidden="false" customHeight="false" outlineLevel="0" collapsed="false">
      <c r="A145" s="19" t="str">
        <f aca="false">IF(OR(H145&lt;&gt;"",I145&lt;&gt;""),ROW()-3,"")</f>
        <v/>
      </c>
      <c r="B145" s="20"/>
      <c r="C145" s="18"/>
      <c r="D145" s="21"/>
      <c r="E145" s="22" t="str">
        <f aca="false">IFERROR(INDEX(Comptes!$B$4:$B$50,MATCH($D145,Comptes!$A$4:$A$50,0)),"")</f>
        <v/>
      </c>
      <c r="F145" s="18"/>
      <c r="G145" s="21"/>
      <c r="H145" s="23"/>
      <c r="I145" s="23"/>
    </row>
    <row r="146" customFormat="false" ht="15" hidden="false" customHeight="false" outlineLevel="0" collapsed="false">
      <c r="A146" s="19" t="str">
        <f aca="false">IF(OR(H146&lt;&gt;"",I146&lt;&gt;""),ROW()-3,"")</f>
        <v/>
      </c>
      <c r="B146" s="20"/>
      <c r="C146" s="18"/>
      <c r="D146" s="21"/>
      <c r="E146" s="22" t="str">
        <f aca="false">IFERROR(INDEX(Comptes!$B$4:$B$50,MATCH($D146,Comptes!$A$4:$A$50,0)),"")</f>
        <v/>
      </c>
      <c r="F146" s="18"/>
      <c r="G146" s="21"/>
      <c r="H146" s="23"/>
      <c r="I146" s="23"/>
    </row>
    <row r="147" customFormat="false" ht="15" hidden="false" customHeight="false" outlineLevel="0" collapsed="false">
      <c r="A147" s="19" t="str">
        <f aca="false">IF(OR(H147&lt;&gt;"",I147&lt;&gt;""),ROW()-3,"")</f>
        <v/>
      </c>
      <c r="B147" s="20"/>
      <c r="C147" s="18"/>
      <c r="D147" s="21"/>
      <c r="E147" s="22" t="str">
        <f aca="false">IFERROR(INDEX(Comptes!$B$4:$B$50,MATCH($D147,Comptes!$A$4:$A$50,0)),"")</f>
        <v/>
      </c>
      <c r="F147" s="18"/>
      <c r="G147" s="21"/>
      <c r="H147" s="23"/>
      <c r="I147" s="23"/>
    </row>
    <row r="148" customFormat="false" ht="15" hidden="false" customHeight="false" outlineLevel="0" collapsed="false">
      <c r="A148" s="19" t="str">
        <f aca="false">IF(OR(H148&lt;&gt;"",I148&lt;&gt;""),ROW()-3,"")</f>
        <v/>
      </c>
      <c r="B148" s="20"/>
      <c r="C148" s="18"/>
      <c r="D148" s="21"/>
      <c r="E148" s="22" t="str">
        <f aca="false">IFERROR(INDEX(Comptes!$B$4:$B$50,MATCH($D148,Comptes!$A$4:$A$50,0)),"")</f>
        <v/>
      </c>
      <c r="F148" s="18"/>
      <c r="G148" s="21"/>
      <c r="H148" s="23"/>
      <c r="I148" s="23"/>
    </row>
    <row r="149" customFormat="false" ht="15" hidden="false" customHeight="false" outlineLevel="0" collapsed="false">
      <c r="A149" s="19" t="str">
        <f aca="false">IF(OR(H149&lt;&gt;"",I149&lt;&gt;""),ROW()-3,"")</f>
        <v/>
      </c>
      <c r="B149" s="20"/>
      <c r="C149" s="18"/>
      <c r="D149" s="21"/>
      <c r="E149" s="22" t="str">
        <f aca="false">IFERROR(INDEX(Comptes!$B$4:$B$50,MATCH($D149,Comptes!$A$4:$A$50,0)),"")</f>
        <v/>
      </c>
      <c r="F149" s="18"/>
      <c r="G149" s="21"/>
      <c r="H149" s="23"/>
      <c r="I149" s="23"/>
    </row>
    <row r="150" customFormat="false" ht="15" hidden="false" customHeight="false" outlineLevel="0" collapsed="false">
      <c r="A150" s="19" t="str">
        <f aca="false">IF(OR(H150&lt;&gt;"",I150&lt;&gt;""),ROW()-3,"")</f>
        <v/>
      </c>
      <c r="B150" s="20"/>
      <c r="C150" s="18"/>
      <c r="D150" s="21"/>
      <c r="E150" s="22" t="str">
        <f aca="false">IFERROR(INDEX(Comptes!$B$4:$B$50,MATCH($D150,Comptes!$A$4:$A$50,0)),"")</f>
        <v/>
      </c>
      <c r="F150" s="18"/>
      <c r="G150" s="21"/>
      <c r="H150" s="23"/>
      <c r="I150" s="23"/>
    </row>
    <row r="151" customFormat="false" ht="15" hidden="false" customHeight="false" outlineLevel="0" collapsed="false">
      <c r="A151" s="19" t="str">
        <f aca="false">IF(OR(H151&lt;&gt;"",I151&lt;&gt;""),ROW()-3,"")</f>
        <v/>
      </c>
      <c r="B151" s="20"/>
      <c r="C151" s="18"/>
      <c r="D151" s="21"/>
      <c r="E151" s="22" t="str">
        <f aca="false">IFERROR(INDEX(Comptes!$B$4:$B$50,MATCH($D151,Comptes!$A$4:$A$50,0)),"")</f>
        <v/>
      </c>
      <c r="F151" s="18"/>
      <c r="G151" s="21"/>
      <c r="H151" s="23"/>
      <c r="I151" s="23"/>
    </row>
    <row r="152" customFormat="false" ht="15" hidden="false" customHeight="false" outlineLevel="0" collapsed="false">
      <c r="A152" s="19" t="str">
        <f aca="false">IF(OR(H152&lt;&gt;"",I152&lt;&gt;""),ROW()-3,"")</f>
        <v/>
      </c>
      <c r="B152" s="20"/>
      <c r="C152" s="18"/>
      <c r="D152" s="21"/>
      <c r="E152" s="22" t="str">
        <f aca="false">IFERROR(INDEX(Comptes!$B$4:$B$50,MATCH($D152,Comptes!$A$4:$A$50,0)),"")</f>
        <v/>
      </c>
      <c r="F152" s="18"/>
      <c r="G152" s="21"/>
      <c r="H152" s="23"/>
      <c r="I152" s="23"/>
    </row>
    <row r="153" customFormat="false" ht="15" hidden="false" customHeight="false" outlineLevel="0" collapsed="false">
      <c r="A153" s="19" t="str">
        <f aca="false">IF(OR(H153&lt;&gt;"",I153&lt;&gt;""),ROW()-3,"")</f>
        <v/>
      </c>
      <c r="B153" s="20"/>
      <c r="C153" s="18"/>
      <c r="D153" s="21"/>
      <c r="E153" s="22" t="str">
        <f aca="false">IFERROR(INDEX(Comptes!$B$4:$B$50,MATCH($D153,Comptes!$A$4:$A$50,0)),"")</f>
        <v/>
      </c>
      <c r="F153" s="18"/>
      <c r="G153" s="21"/>
      <c r="H153" s="23"/>
      <c r="I153" s="23"/>
    </row>
    <row r="154" customFormat="false" ht="15" hidden="false" customHeight="false" outlineLevel="0" collapsed="false">
      <c r="A154" s="19" t="str">
        <f aca="false">IF(OR(H154&lt;&gt;"",I154&lt;&gt;""),ROW()-3,"")</f>
        <v/>
      </c>
      <c r="B154" s="20"/>
      <c r="C154" s="18"/>
      <c r="D154" s="21"/>
      <c r="E154" s="22" t="str">
        <f aca="false">IFERROR(INDEX(Comptes!$B$4:$B$50,MATCH($D154,Comptes!$A$4:$A$50,0)),"")</f>
        <v/>
      </c>
      <c r="F154" s="18"/>
      <c r="G154" s="21"/>
      <c r="H154" s="23"/>
      <c r="I154" s="23"/>
    </row>
    <row r="155" customFormat="false" ht="15" hidden="false" customHeight="false" outlineLevel="0" collapsed="false">
      <c r="A155" s="19" t="str">
        <f aca="false">IF(OR(H155&lt;&gt;"",I155&lt;&gt;""),ROW()-3,"")</f>
        <v/>
      </c>
      <c r="B155" s="20"/>
      <c r="C155" s="18"/>
      <c r="D155" s="21"/>
      <c r="E155" s="22" t="str">
        <f aca="false">IFERROR(INDEX(Comptes!$B$4:$B$50,MATCH($D155,Comptes!$A$4:$A$50,0)),"")</f>
        <v/>
      </c>
      <c r="F155" s="18"/>
      <c r="G155" s="21"/>
      <c r="H155" s="23"/>
      <c r="I155" s="23"/>
    </row>
    <row r="156" customFormat="false" ht="15" hidden="false" customHeight="false" outlineLevel="0" collapsed="false">
      <c r="A156" s="19" t="str">
        <f aca="false">IF(OR(H156&lt;&gt;"",I156&lt;&gt;""),ROW()-3,"")</f>
        <v/>
      </c>
      <c r="B156" s="20"/>
      <c r="C156" s="18"/>
      <c r="D156" s="21"/>
      <c r="E156" s="22" t="str">
        <f aca="false">IFERROR(INDEX(Comptes!$B$4:$B$50,MATCH($D156,Comptes!$A$4:$A$50,0)),"")</f>
        <v/>
      </c>
      <c r="F156" s="18"/>
      <c r="G156" s="21"/>
      <c r="H156" s="23"/>
      <c r="I156" s="23"/>
    </row>
    <row r="157" customFormat="false" ht="15" hidden="false" customHeight="false" outlineLevel="0" collapsed="false">
      <c r="A157" s="19" t="str">
        <f aca="false">IF(OR(H157&lt;&gt;"",I157&lt;&gt;""),ROW()-3,"")</f>
        <v/>
      </c>
      <c r="B157" s="20"/>
      <c r="C157" s="18"/>
      <c r="D157" s="21"/>
      <c r="E157" s="22" t="str">
        <f aca="false">IFERROR(INDEX(Comptes!$B$4:$B$50,MATCH($D157,Comptes!$A$4:$A$50,0)),"")</f>
        <v/>
      </c>
      <c r="F157" s="18"/>
      <c r="G157" s="21"/>
      <c r="H157" s="23"/>
      <c r="I157" s="23"/>
    </row>
    <row r="158" customFormat="false" ht="15" hidden="false" customHeight="false" outlineLevel="0" collapsed="false">
      <c r="A158" s="19" t="str">
        <f aca="false">IF(OR(H158&lt;&gt;"",I158&lt;&gt;""),ROW()-3,"")</f>
        <v/>
      </c>
      <c r="B158" s="20"/>
      <c r="C158" s="18"/>
      <c r="D158" s="21"/>
      <c r="E158" s="22" t="str">
        <f aca="false">IFERROR(INDEX(Comptes!$B$4:$B$50,MATCH($D158,Comptes!$A$4:$A$50,0)),"")</f>
        <v/>
      </c>
      <c r="F158" s="18"/>
      <c r="G158" s="21"/>
      <c r="H158" s="23"/>
      <c r="I158" s="23"/>
    </row>
    <row r="159" customFormat="false" ht="15" hidden="false" customHeight="false" outlineLevel="0" collapsed="false">
      <c r="A159" s="19" t="str">
        <f aca="false">IF(OR(H159&lt;&gt;"",I159&lt;&gt;""),ROW()-3,"")</f>
        <v/>
      </c>
      <c r="B159" s="20"/>
      <c r="C159" s="18"/>
      <c r="D159" s="21"/>
      <c r="E159" s="22" t="str">
        <f aca="false">IFERROR(INDEX(Comptes!$B$4:$B$50,MATCH($D159,Comptes!$A$4:$A$50,0)),"")</f>
        <v/>
      </c>
      <c r="F159" s="18"/>
      <c r="G159" s="21"/>
      <c r="H159" s="23"/>
      <c r="I159" s="23"/>
    </row>
    <row r="160" customFormat="false" ht="15" hidden="false" customHeight="false" outlineLevel="0" collapsed="false">
      <c r="A160" s="19" t="str">
        <f aca="false">IF(OR(H160&lt;&gt;"",I160&lt;&gt;""),ROW()-3,"")</f>
        <v/>
      </c>
      <c r="B160" s="20"/>
      <c r="C160" s="18"/>
      <c r="D160" s="21"/>
      <c r="E160" s="22" t="str">
        <f aca="false">IFERROR(INDEX(Comptes!$B$4:$B$50,MATCH($D160,Comptes!$A$4:$A$50,0)),"")</f>
        <v/>
      </c>
      <c r="F160" s="18"/>
      <c r="G160" s="21"/>
      <c r="H160" s="23"/>
      <c r="I160" s="23"/>
    </row>
    <row r="161" customFormat="false" ht="15" hidden="false" customHeight="false" outlineLevel="0" collapsed="false">
      <c r="A161" s="19" t="str">
        <f aca="false">IF(OR(H161&lt;&gt;"",I161&lt;&gt;""),ROW()-3,"")</f>
        <v/>
      </c>
      <c r="B161" s="20"/>
      <c r="C161" s="18"/>
      <c r="D161" s="21"/>
      <c r="E161" s="22" t="str">
        <f aca="false">IFERROR(INDEX(Comptes!$B$4:$B$50,MATCH($D161,Comptes!$A$4:$A$50,0)),"")</f>
        <v/>
      </c>
      <c r="F161" s="18"/>
      <c r="G161" s="21"/>
      <c r="H161" s="23"/>
      <c r="I161" s="23"/>
    </row>
    <row r="162" customFormat="false" ht="15" hidden="false" customHeight="false" outlineLevel="0" collapsed="false">
      <c r="A162" s="19" t="str">
        <f aca="false">IF(OR(H162&lt;&gt;"",I162&lt;&gt;""),ROW()-3,"")</f>
        <v/>
      </c>
      <c r="B162" s="20"/>
      <c r="C162" s="18"/>
      <c r="D162" s="21"/>
      <c r="E162" s="22" t="str">
        <f aca="false">IFERROR(INDEX(Comptes!$B$4:$B$50,MATCH($D162,Comptes!$A$4:$A$50,0)),"")</f>
        <v/>
      </c>
      <c r="F162" s="18"/>
      <c r="G162" s="21"/>
      <c r="H162" s="23"/>
      <c r="I162" s="23"/>
    </row>
    <row r="163" customFormat="false" ht="15" hidden="false" customHeight="false" outlineLevel="0" collapsed="false">
      <c r="A163" s="19" t="str">
        <f aca="false">IF(OR(H163&lt;&gt;"",I163&lt;&gt;""),ROW()-3,"")</f>
        <v/>
      </c>
      <c r="B163" s="20"/>
      <c r="C163" s="18"/>
      <c r="D163" s="21"/>
      <c r="E163" s="22" t="str">
        <f aca="false">IFERROR(INDEX(Comptes!$B$4:$B$50,MATCH($D163,Comptes!$A$4:$A$50,0)),"")</f>
        <v/>
      </c>
      <c r="F163" s="18"/>
      <c r="G163" s="21"/>
      <c r="H163" s="23"/>
      <c r="I163" s="23"/>
    </row>
    <row r="164" customFormat="false" ht="15" hidden="false" customHeight="false" outlineLevel="0" collapsed="false">
      <c r="A164" s="19" t="str">
        <f aca="false">IF(OR(H164&lt;&gt;"",I164&lt;&gt;""),ROW()-3,"")</f>
        <v/>
      </c>
      <c r="B164" s="20"/>
      <c r="C164" s="18"/>
      <c r="D164" s="21"/>
      <c r="E164" s="22" t="str">
        <f aca="false">IFERROR(INDEX(Comptes!$B$4:$B$50,MATCH($D164,Comptes!$A$4:$A$50,0)),"")</f>
        <v/>
      </c>
      <c r="F164" s="18"/>
      <c r="G164" s="21"/>
      <c r="H164" s="23"/>
      <c r="I164" s="23"/>
    </row>
    <row r="165" customFormat="false" ht="15" hidden="false" customHeight="false" outlineLevel="0" collapsed="false">
      <c r="A165" s="19" t="str">
        <f aca="false">IF(OR(H165&lt;&gt;"",I165&lt;&gt;""),ROW()-3,"")</f>
        <v/>
      </c>
      <c r="B165" s="20"/>
      <c r="C165" s="18"/>
      <c r="D165" s="21"/>
      <c r="E165" s="22" t="str">
        <f aca="false">IFERROR(INDEX(Comptes!$B$4:$B$50,MATCH($D165,Comptes!$A$4:$A$50,0)),"")</f>
        <v/>
      </c>
      <c r="F165" s="18"/>
      <c r="G165" s="21"/>
      <c r="H165" s="23"/>
      <c r="I165" s="23"/>
    </row>
    <row r="166" customFormat="false" ht="15" hidden="false" customHeight="false" outlineLevel="0" collapsed="false">
      <c r="A166" s="19" t="str">
        <f aca="false">IF(OR(H166&lt;&gt;"",I166&lt;&gt;""),ROW()-3,"")</f>
        <v/>
      </c>
      <c r="B166" s="20"/>
      <c r="C166" s="18"/>
      <c r="D166" s="21"/>
      <c r="E166" s="22" t="str">
        <f aca="false">IFERROR(INDEX(Comptes!$B$4:$B$50,MATCH($D166,Comptes!$A$4:$A$50,0)),"")</f>
        <v/>
      </c>
      <c r="F166" s="18"/>
      <c r="G166" s="21"/>
      <c r="H166" s="23"/>
      <c r="I166" s="23"/>
    </row>
    <row r="167" customFormat="false" ht="15" hidden="false" customHeight="false" outlineLevel="0" collapsed="false">
      <c r="A167" s="19" t="str">
        <f aca="false">IF(OR(H167&lt;&gt;"",I167&lt;&gt;""),ROW()-3,"")</f>
        <v/>
      </c>
      <c r="B167" s="20"/>
      <c r="C167" s="18"/>
      <c r="D167" s="21"/>
      <c r="E167" s="22" t="str">
        <f aca="false">IFERROR(INDEX(Comptes!$B$4:$B$50,MATCH($D167,Comptes!$A$4:$A$50,0)),"")</f>
        <v/>
      </c>
      <c r="F167" s="18"/>
      <c r="G167" s="21"/>
      <c r="H167" s="23"/>
      <c r="I167" s="23"/>
    </row>
    <row r="168" customFormat="false" ht="15" hidden="false" customHeight="false" outlineLevel="0" collapsed="false">
      <c r="A168" s="19" t="str">
        <f aca="false">IF(OR(H168&lt;&gt;"",I168&lt;&gt;""),ROW()-3,"")</f>
        <v/>
      </c>
      <c r="B168" s="20"/>
      <c r="C168" s="18"/>
      <c r="D168" s="21"/>
      <c r="E168" s="22" t="str">
        <f aca="false">IFERROR(INDEX(Comptes!$B$4:$B$50,MATCH($D168,Comptes!$A$4:$A$50,0)),"")</f>
        <v/>
      </c>
      <c r="F168" s="18"/>
      <c r="G168" s="21"/>
      <c r="H168" s="23"/>
      <c r="I168" s="23"/>
    </row>
    <row r="169" customFormat="false" ht="15" hidden="false" customHeight="false" outlineLevel="0" collapsed="false">
      <c r="A169" s="19" t="str">
        <f aca="false">IF(OR(H169&lt;&gt;"",I169&lt;&gt;""),ROW()-3,"")</f>
        <v/>
      </c>
      <c r="B169" s="20"/>
      <c r="C169" s="18"/>
      <c r="D169" s="21"/>
      <c r="E169" s="22" t="str">
        <f aca="false">IFERROR(INDEX(Comptes!$B$4:$B$50,MATCH($D169,Comptes!$A$4:$A$50,0)),"")</f>
        <v/>
      </c>
      <c r="F169" s="18"/>
      <c r="G169" s="21"/>
      <c r="H169" s="23"/>
      <c r="I169" s="23"/>
    </row>
    <row r="170" customFormat="false" ht="15" hidden="false" customHeight="false" outlineLevel="0" collapsed="false">
      <c r="A170" s="19" t="str">
        <f aca="false">IF(OR(H170&lt;&gt;"",I170&lt;&gt;""),ROW()-3,"")</f>
        <v/>
      </c>
      <c r="B170" s="20"/>
      <c r="C170" s="18"/>
      <c r="D170" s="21"/>
      <c r="E170" s="22" t="str">
        <f aca="false">IFERROR(INDEX(Comptes!$B$4:$B$50,MATCH($D170,Comptes!$A$4:$A$50,0)),"")</f>
        <v/>
      </c>
      <c r="F170" s="18"/>
      <c r="G170" s="21"/>
      <c r="H170" s="23"/>
      <c r="I170" s="23"/>
    </row>
    <row r="171" customFormat="false" ht="15" hidden="false" customHeight="false" outlineLevel="0" collapsed="false">
      <c r="A171" s="19" t="str">
        <f aca="false">IF(OR(H171&lt;&gt;"",I171&lt;&gt;""),ROW()-3,"")</f>
        <v/>
      </c>
      <c r="B171" s="20"/>
      <c r="C171" s="18"/>
      <c r="D171" s="21"/>
      <c r="E171" s="22" t="str">
        <f aca="false">IFERROR(INDEX(Comptes!$B$4:$B$50,MATCH($D171,Comptes!$A$4:$A$50,0)),"")</f>
        <v/>
      </c>
      <c r="F171" s="18"/>
      <c r="G171" s="21"/>
      <c r="H171" s="23"/>
      <c r="I171" s="23"/>
    </row>
    <row r="172" customFormat="false" ht="15" hidden="false" customHeight="false" outlineLevel="0" collapsed="false">
      <c r="A172" s="19" t="str">
        <f aca="false">IF(OR(H172&lt;&gt;"",I172&lt;&gt;""),ROW()-3,"")</f>
        <v/>
      </c>
      <c r="B172" s="20"/>
      <c r="C172" s="18"/>
      <c r="D172" s="21"/>
      <c r="E172" s="22" t="str">
        <f aca="false">IFERROR(INDEX(Comptes!$B$4:$B$50,MATCH($D172,Comptes!$A$4:$A$50,0)),"")</f>
        <v/>
      </c>
      <c r="F172" s="18"/>
      <c r="G172" s="21"/>
      <c r="H172" s="23"/>
      <c r="I172" s="23"/>
    </row>
    <row r="173" customFormat="false" ht="15" hidden="false" customHeight="false" outlineLevel="0" collapsed="false">
      <c r="A173" s="19" t="str">
        <f aca="false">IF(OR(H173&lt;&gt;"",I173&lt;&gt;""),ROW()-3,"")</f>
        <v/>
      </c>
      <c r="B173" s="20"/>
      <c r="C173" s="18"/>
      <c r="D173" s="21"/>
      <c r="E173" s="22" t="str">
        <f aca="false">IFERROR(INDEX(Comptes!$B$4:$B$50,MATCH($D173,Comptes!$A$4:$A$50,0)),"")</f>
        <v/>
      </c>
      <c r="F173" s="18"/>
      <c r="G173" s="21"/>
      <c r="H173" s="23"/>
      <c r="I173" s="23"/>
    </row>
    <row r="174" customFormat="false" ht="15" hidden="false" customHeight="false" outlineLevel="0" collapsed="false">
      <c r="A174" s="19" t="str">
        <f aca="false">IF(OR(H174&lt;&gt;"",I174&lt;&gt;""),ROW()-3,"")</f>
        <v/>
      </c>
      <c r="B174" s="20"/>
      <c r="C174" s="18"/>
      <c r="D174" s="21"/>
      <c r="E174" s="22" t="str">
        <f aca="false">IFERROR(INDEX(Comptes!$B$4:$B$50,MATCH($D174,Comptes!$A$4:$A$50,0)),"")</f>
        <v/>
      </c>
      <c r="F174" s="18"/>
      <c r="G174" s="21"/>
      <c r="H174" s="23"/>
      <c r="I174" s="23"/>
    </row>
    <row r="175" customFormat="false" ht="15" hidden="false" customHeight="false" outlineLevel="0" collapsed="false">
      <c r="A175" s="19" t="str">
        <f aca="false">IF(OR(H175&lt;&gt;"",I175&lt;&gt;""),ROW()-3,"")</f>
        <v/>
      </c>
      <c r="B175" s="20"/>
      <c r="C175" s="18"/>
      <c r="D175" s="21"/>
      <c r="E175" s="22" t="str">
        <f aca="false">IFERROR(INDEX(Comptes!$B$4:$B$50,MATCH($D175,Comptes!$A$4:$A$50,0)),"")</f>
        <v/>
      </c>
      <c r="F175" s="18"/>
      <c r="G175" s="21"/>
      <c r="H175" s="23"/>
      <c r="I175" s="23"/>
    </row>
    <row r="176" customFormat="false" ht="15" hidden="false" customHeight="false" outlineLevel="0" collapsed="false">
      <c r="A176" s="19" t="str">
        <f aca="false">IF(OR(H176&lt;&gt;"",I176&lt;&gt;""),ROW()-3,"")</f>
        <v/>
      </c>
      <c r="B176" s="20"/>
      <c r="C176" s="18"/>
      <c r="D176" s="21"/>
      <c r="E176" s="22" t="str">
        <f aca="false">IFERROR(INDEX(Comptes!$B$4:$B$50,MATCH($D176,Comptes!$A$4:$A$50,0)),"")</f>
        <v/>
      </c>
      <c r="F176" s="18"/>
      <c r="G176" s="21"/>
      <c r="H176" s="23"/>
      <c r="I176" s="23"/>
    </row>
    <row r="177" customFormat="false" ht="15" hidden="false" customHeight="false" outlineLevel="0" collapsed="false">
      <c r="A177" s="19" t="str">
        <f aca="false">IF(OR(H177&lt;&gt;"",I177&lt;&gt;""),ROW()-3,"")</f>
        <v/>
      </c>
      <c r="B177" s="20"/>
      <c r="C177" s="18"/>
      <c r="D177" s="21"/>
      <c r="E177" s="22" t="str">
        <f aca="false">IFERROR(INDEX(Comptes!$B$4:$B$50,MATCH($D177,Comptes!$A$4:$A$50,0)),"")</f>
        <v/>
      </c>
      <c r="F177" s="18"/>
      <c r="G177" s="21"/>
      <c r="H177" s="23"/>
      <c r="I177" s="23"/>
    </row>
    <row r="178" customFormat="false" ht="15" hidden="false" customHeight="false" outlineLevel="0" collapsed="false">
      <c r="A178" s="19" t="str">
        <f aca="false">IF(OR(H178&lt;&gt;"",I178&lt;&gt;""),ROW()-3,"")</f>
        <v/>
      </c>
      <c r="B178" s="20"/>
      <c r="C178" s="18"/>
      <c r="D178" s="21"/>
      <c r="E178" s="22" t="str">
        <f aca="false">IFERROR(INDEX(Comptes!$B$4:$B$50,MATCH($D178,Comptes!$A$4:$A$50,0)),"")</f>
        <v/>
      </c>
      <c r="F178" s="18"/>
      <c r="G178" s="21"/>
      <c r="H178" s="23"/>
      <c r="I178" s="23"/>
    </row>
    <row r="179" customFormat="false" ht="15" hidden="false" customHeight="false" outlineLevel="0" collapsed="false">
      <c r="A179" s="19" t="str">
        <f aca="false">IF(OR(H179&lt;&gt;"",I179&lt;&gt;""),ROW()-3,"")</f>
        <v/>
      </c>
      <c r="B179" s="20"/>
      <c r="C179" s="18"/>
      <c r="D179" s="21"/>
      <c r="E179" s="22" t="str">
        <f aca="false">IFERROR(INDEX(Comptes!$B$4:$B$50,MATCH($D179,Comptes!$A$4:$A$50,0)),"")</f>
        <v/>
      </c>
      <c r="F179" s="18"/>
      <c r="G179" s="21"/>
      <c r="H179" s="23"/>
      <c r="I179" s="23"/>
    </row>
    <row r="180" customFormat="false" ht="15" hidden="false" customHeight="false" outlineLevel="0" collapsed="false">
      <c r="A180" s="19" t="str">
        <f aca="false">IF(OR(H180&lt;&gt;"",I180&lt;&gt;""),ROW()-3,"")</f>
        <v/>
      </c>
      <c r="B180" s="20"/>
      <c r="C180" s="18"/>
      <c r="D180" s="21"/>
      <c r="E180" s="22" t="str">
        <f aca="false">IFERROR(INDEX(Comptes!$B$4:$B$50,MATCH($D180,Comptes!$A$4:$A$50,0)),"")</f>
        <v/>
      </c>
      <c r="F180" s="18"/>
      <c r="G180" s="21"/>
      <c r="H180" s="23"/>
      <c r="I180" s="23"/>
    </row>
    <row r="181" customFormat="false" ht="15" hidden="false" customHeight="false" outlineLevel="0" collapsed="false">
      <c r="A181" s="19" t="str">
        <f aca="false">IF(OR(H181&lt;&gt;"",I181&lt;&gt;""),ROW()-3,"")</f>
        <v/>
      </c>
      <c r="B181" s="20"/>
      <c r="C181" s="18"/>
      <c r="D181" s="21"/>
      <c r="E181" s="22" t="str">
        <f aca="false">IFERROR(INDEX(Comptes!$B$4:$B$50,MATCH($D181,Comptes!$A$4:$A$50,0)),"")</f>
        <v/>
      </c>
      <c r="F181" s="18"/>
      <c r="G181" s="21"/>
      <c r="H181" s="23"/>
      <c r="I181" s="23"/>
    </row>
    <row r="182" customFormat="false" ht="15" hidden="false" customHeight="false" outlineLevel="0" collapsed="false">
      <c r="A182" s="19" t="str">
        <f aca="false">IF(OR(H182&lt;&gt;"",I182&lt;&gt;""),ROW()-3,"")</f>
        <v/>
      </c>
      <c r="B182" s="20"/>
      <c r="C182" s="18"/>
      <c r="D182" s="21"/>
      <c r="E182" s="22" t="str">
        <f aca="false">IFERROR(INDEX(Comptes!$B$4:$B$50,MATCH($D182,Comptes!$A$4:$A$50,0)),"")</f>
        <v/>
      </c>
      <c r="F182" s="18"/>
      <c r="G182" s="21"/>
      <c r="H182" s="23"/>
      <c r="I182" s="23"/>
    </row>
    <row r="183" customFormat="false" ht="15" hidden="false" customHeight="false" outlineLevel="0" collapsed="false">
      <c r="A183" s="19" t="str">
        <f aca="false">IF(OR(H183&lt;&gt;"",I183&lt;&gt;""),ROW()-3,"")</f>
        <v/>
      </c>
      <c r="B183" s="20"/>
      <c r="C183" s="18"/>
      <c r="D183" s="21"/>
      <c r="E183" s="22" t="str">
        <f aca="false">IFERROR(INDEX(Comptes!$B$4:$B$50,MATCH($D183,Comptes!$A$4:$A$50,0)),"")</f>
        <v/>
      </c>
      <c r="F183" s="18"/>
      <c r="G183" s="21"/>
      <c r="H183" s="23"/>
      <c r="I183" s="23"/>
    </row>
    <row r="184" customFormat="false" ht="15" hidden="false" customHeight="false" outlineLevel="0" collapsed="false">
      <c r="A184" s="19" t="str">
        <f aca="false">IF(OR(H184&lt;&gt;"",I184&lt;&gt;""),ROW()-3,"")</f>
        <v/>
      </c>
      <c r="B184" s="20"/>
      <c r="C184" s="18"/>
      <c r="D184" s="21"/>
      <c r="E184" s="22" t="str">
        <f aca="false">IFERROR(INDEX(Comptes!$B$4:$B$50,MATCH($D184,Comptes!$A$4:$A$50,0)),"")</f>
        <v/>
      </c>
      <c r="F184" s="18"/>
      <c r="G184" s="21"/>
      <c r="H184" s="23"/>
      <c r="I184" s="23"/>
    </row>
    <row r="185" customFormat="false" ht="15" hidden="false" customHeight="false" outlineLevel="0" collapsed="false">
      <c r="A185" s="19" t="str">
        <f aca="false">IF(OR(H185&lt;&gt;"",I185&lt;&gt;""),ROW()-3,"")</f>
        <v/>
      </c>
      <c r="B185" s="20"/>
      <c r="C185" s="18"/>
      <c r="D185" s="21"/>
      <c r="E185" s="22" t="str">
        <f aca="false">IFERROR(INDEX(Comptes!$B$4:$B$50,MATCH($D185,Comptes!$A$4:$A$50,0)),"")</f>
        <v/>
      </c>
      <c r="F185" s="18"/>
      <c r="G185" s="21"/>
      <c r="H185" s="23"/>
      <c r="I185" s="23"/>
    </row>
    <row r="186" customFormat="false" ht="15" hidden="false" customHeight="false" outlineLevel="0" collapsed="false">
      <c r="A186" s="19" t="str">
        <f aca="false">IF(OR(H186&lt;&gt;"",I186&lt;&gt;""),ROW()-3,"")</f>
        <v/>
      </c>
      <c r="B186" s="20"/>
      <c r="C186" s="18"/>
      <c r="D186" s="21"/>
      <c r="E186" s="22" t="str">
        <f aca="false">IFERROR(INDEX(Comptes!$B$4:$B$50,MATCH($D186,Comptes!$A$4:$A$50,0)),"")</f>
        <v/>
      </c>
      <c r="F186" s="18"/>
      <c r="G186" s="21"/>
      <c r="H186" s="23"/>
      <c r="I186" s="23"/>
    </row>
    <row r="187" customFormat="false" ht="15" hidden="false" customHeight="false" outlineLevel="0" collapsed="false">
      <c r="A187" s="19" t="str">
        <f aca="false">IF(OR(H187&lt;&gt;"",I187&lt;&gt;""),ROW()-3,"")</f>
        <v/>
      </c>
      <c r="B187" s="20"/>
      <c r="C187" s="18"/>
      <c r="D187" s="21"/>
      <c r="E187" s="22" t="str">
        <f aca="false">IFERROR(INDEX(Comptes!$B$4:$B$50,MATCH($D187,Comptes!$A$4:$A$50,0)),"")</f>
        <v/>
      </c>
      <c r="F187" s="18"/>
      <c r="G187" s="21"/>
      <c r="H187" s="23"/>
      <c r="I187" s="23"/>
    </row>
    <row r="188" customFormat="false" ht="15" hidden="false" customHeight="false" outlineLevel="0" collapsed="false">
      <c r="A188" s="19" t="str">
        <f aca="false">IF(OR(H188&lt;&gt;"",I188&lt;&gt;""),ROW()-3,"")</f>
        <v/>
      </c>
      <c r="B188" s="20"/>
      <c r="C188" s="18"/>
      <c r="D188" s="21"/>
      <c r="E188" s="22" t="str">
        <f aca="false">IFERROR(INDEX(Comptes!$B$4:$B$50,MATCH($D188,Comptes!$A$4:$A$50,0)),"")</f>
        <v/>
      </c>
      <c r="F188" s="18"/>
      <c r="G188" s="21"/>
      <c r="H188" s="23"/>
      <c r="I188" s="23"/>
    </row>
    <row r="189" customFormat="false" ht="15" hidden="false" customHeight="false" outlineLevel="0" collapsed="false">
      <c r="A189" s="19" t="str">
        <f aca="false">IF(OR(H189&lt;&gt;"",I189&lt;&gt;""),ROW()-3,"")</f>
        <v/>
      </c>
      <c r="B189" s="20"/>
      <c r="C189" s="18"/>
      <c r="D189" s="21"/>
      <c r="E189" s="22" t="str">
        <f aca="false">IFERROR(INDEX(Comptes!$B$4:$B$50,MATCH($D189,Comptes!$A$4:$A$50,0)),"")</f>
        <v/>
      </c>
      <c r="F189" s="18"/>
      <c r="G189" s="21"/>
      <c r="H189" s="23"/>
      <c r="I189" s="23"/>
    </row>
    <row r="190" customFormat="false" ht="15" hidden="false" customHeight="false" outlineLevel="0" collapsed="false">
      <c r="A190" s="19" t="str">
        <f aca="false">IF(OR(H190&lt;&gt;"",I190&lt;&gt;""),ROW()-3,"")</f>
        <v/>
      </c>
      <c r="B190" s="20"/>
      <c r="C190" s="18"/>
      <c r="D190" s="21"/>
      <c r="E190" s="22" t="str">
        <f aca="false">IFERROR(INDEX(Comptes!$B$4:$B$50,MATCH($D190,Comptes!$A$4:$A$50,0)),"")</f>
        <v/>
      </c>
      <c r="F190" s="18"/>
      <c r="G190" s="21"/>
      <c r="H190" s="23"/>
      <c r="I190" s="23"/>
    </row>
    <row r="191" customFormat="false" ht="15" hidden="false" customHeight="false" outlineLevel="0" collapsed="false">
      <c r="A191" s="19" t="str">
        <f aca="false">IF(OR(H191&lt;&gt;"",I191&lt;&gt;""),ROW()-3,"")</f>
        <v/>
      </c>
      <c r="B191" s="20"/>
      <c r="C191" s="18"/>
      <c r="D191" s="21"/>
      <c r="E191" s="22" t="str">
        <f aca="false">IFERROR(INDEX(Comptes!$B$4:$B$50,MATCH($D191,Comptes!$A$4:$A$50,0)),"")</f>
        <v/>
      </c>
      <c r="F191" s="18"/>
      <c r="G191" s="21"/>
      <c r="H191" s="23"/>
      <c r="I191" s="23"/>
    </row>
    <row r="192" customFormat="false" ht="15" hidden="false" customHeight="false" outlineLevel="0" collapsed="false">
      <c r="A192" s="19" t="str">
        <f aca="false">IF(OR(H192&lt;&gt;"",I192&lt;&gt;""),ROW()-3,"")</f>
        <v/>
      </c>
      <c r="B192" s="20"/>
      <c r="C192" s="18"/>
      <c r="D192" s="21"/>
      <c r="E192" s="22" t="str">
        <f aca="false">IFERROR(INDEX(Comptes!$B$4:$B$50,MATCH($D192,Comptes!$A$4:$A$50,0)),"")</f>
        <v/>
      </c>
      <c r="F192" s="18"/>
      <c r="G192" s="21"/>
      <c r="H192" s="23"/>
      <c r="I192" s="23"/>
    </row>
    <row r="193" customFormat="false" ht="15" hidden="false" customHeight="false" outlineLevel="0" collapsed="false">
      <c r="A193" s="19" t="str">
        <f aca="false">IF(OR(H193&lt;&gt;"",I193&lt;&gt;""),ROW()-3,"")</f>
        <v/>
      </c>
      <c r="B193" s="20"/>
      <c r="C193" s="18"/>
      <c r="D193" s="21"/>
      <c r="E193" s="22" t="str">
        <f aca="false">IFERROR(INDEX(Comptes!$B$4:$B$50,MATCH($D193,Comptes!$A$4:$A$50,0)),"")</f>
        <v/>
      </c>
      <c r="F193" s="18"/>
      <c r="G193" s="21"/>
      <c r="H193" s="23"/>
      <c r="I193" s="23"/>
    </row>
    <row r="194" customFormat="false" ht="15" hidden="false" customHeight="false" outlineLevel="0" collapsed="false">
      <c r="A194" s="19" t="str">
        <f aca="false">IF(OR(H194&lt;&gt;"",I194&lt;&gt;""),ROW()-3,"")</f>
        <v/>
      </c>
      <c r="B194" s="20"/>
      <c r="C194" s="18"/>
      <c r="D194" s="21"/>
      <c r="E194" s="22" t="str">
        <f aca="false">IFERROR(INDEX(Comptes!$B$4:$B$50,MATCH($D194,Comptes!$A$4:$A$50,0)),"")</f>
        <v/>
      </c>
      <c r="F194" s="18"/>
      <c r="G194" s="21"/>
      <c r="H194" s="23"/>
      <c r="I194" s="23"/>
    </row>
    <row r="195" customFormat="false" ht="15" hidden="false" customHeight="false" outlineLevel="0" collapsed="false">
      <c r="A195" s="19" t="str">
        <f aca="false">IF(OR(H195&lt;&gt;"",I195&lt;&gt;""),ROW()-3,"")</f>
        <v/>
      </c>
      <c r="B195" s="20"/>
      <c r="C195" s="18"/>
      <c r="D195" s="21"/>
      <c r="E195" s="22" t="str">
        <f aca="false">IFERROR(INDEX(Comptes!$B$4:$B$50,MATCH($D195,Comptes!$A$4:$A$50,0)),"")</f>
        <v/>
      </c>
      <c r="F195" s="18"/>
      <c r="G195" s="21"/>
      <c r="H195" s="23"/>
      <c r="I195" s="23"/>
    </row>
    <row r="196" customFormat="false" ht="15" hidden="false" customHeight="false" outlineLevel="0" collapsed="false">
      <c r="A196" s="19" t="str">
        <f aca="false">IF(OR(H196&lt;&gt;"",I196&lt;&gt;""),ROW()-3,"")</f>
        <v/>
      </c>
      <c r="B196" s="20"/>
      <c r="C196" s="18"/>
      <c r="D196" s="21"/>
      <c r="E196" s="22" t="str">
        <f aca="false">IFERROR(INDEX(Comptes!$B$4:$B$50,MATCH($D196,Comptes!$A$4:$A$50,0)),"")</f>
        <v/>
      </c>
      <c r="F196" s="18"/>
      <c r="G196" s="21"/>
      <c r="H196" s="23"/>
      <c r="I196" s="23"/>
    </row>
    <row r="197" customFormat="false" ht="15" hidden="false" customHeight="false" outlineLevel="0" collapsed="false">
      <c r="A197" s="19" t="str">
        <f aca="false">IF(OR(H197&lt;&gt;"",I197&lt;&gt;""),ROW()-3,"")</f>
        <v/>
      </c>
      <c r="B197" s="20"/>
      <c r="C197" s="18"/>
      <c r="D197" s="21"/>
      <c r="E197" s="22" t="str">
        <f aca="false">IFERROR(INDEX(Comptes!$B$4:$B$50,MATCH($D197,Comptes!$A$4:$A$50,0)),"")</f>
        <v/>
      </c>
      <c r="F197" s="18"/>
      <c r="G197" s="21"/>
      <c r="H197" s="23"/>
      <c r="I197" s="23"/>
    </row>
    <row r="198" customFormat="false" ht="15" hidden="false" customHeight="false" outlineLevel="0" collapsed="false">
      <c r="A198" s="19" t="str">
        <f aca="false">IF(OR(H198&lt;&gt;"",I198&lt;&gt;""),ROW()-3,"")</f>
        <v/>
      </c>
      <c r="B198" s="20"/>
      <c r="C198" s="18"/>
      <c r="D198" s="21"/>
      <c r="E198" s="22" t="str">
        <f aca="false">IFERROR(INDEX(Comptes!$B$4:$B$50,MATCH($D198,Comptes!$A$4:$A$50,0)),"")</f>
        <v/>
      </c>
      <c r="F198" s="18"/>
      <c r="G198" s="21"/>
      <c r="H198" s="23"/>
      <c r="I198" s="23"/>
    </row>
    <row r="199" customFormat="false" ht="15" hidden="false" customHeight="false" outlineLevel="0" collapsed="false">
      <c r="A199" s="19" t="str">
        <f aca="false">IF(OR(H199&lt;&gt;"",I199&lt;&gt;""),ROW()-3,"")</f>
        <v/>
      </c>
      <c r="B199" s="20"/>
      <c r="C199" s="18"/>
      <c r="D199" s="21"/>
      <c r="E199" s="22" t="str">
        <f aca="false">IFERROR(INDEX(Comptes!$B$4:$B$50,MATCH($D199,Comptes!$A$4:$A$50,0)),"")</f>
        <v/>
      </c>
      <c r="F199" s="18"/>
      <c r="G199" s="21"/>
      <c r="H199" s="23"/>
      <c r="I199" s="23"/>
    </row>
    <row r="200" customFormat="false" ht="15" hidden="false" customHeight="false" outlineLevel="0" collapsed="false">
      <c r="A200" s="19" t="str">
        <f aca="false">IF(OR(H200&lt;&gt;"",I200&lt;&gt;""),ROW()-3,"")</f>
        <v/>
      </c>
      <c r="B200" s="20"/>
      <c r="C200" s="18"/>
      <c r="D200" s="21"/>
      <c r="E200" s="22" t="str">
        <f aca="false">IFERROR(INDEX(Comptes!$B$4:$B$50,MATCH($D200,Comptes!$A$4:$A$50,0)),"")</f>
        <v/>
      </c>
      <c r="F200" s="18"/>
      <c r="G200" s="21"/>
      <c r="H200" s="23"/>
      <c r="I200" s="23"/>
    </row>
    <row r="201" customFormat="false" ht="15" hidden="false" customHeight="false" outlineLevel="0" collapsed="false">
      <c r="A201" s="19" t="str">
        <f aca="false">IF(OR(H201&lt;&gt;"",I201&lt;&gt;""),ROW()-3,"")</f>
        <v/>
      </c>
      <c r="B201" s="20"/>
      <c r="C201" s="18"/>
      <c r="D201" s="21"/>
      <c r="E201" s="22" t="str">
        <f aca="false">IFERROR(INDEX(Comptes!$B$4:$B$50,MATCH($D201,Comptes!$A$4:$A$50,0)),"")</f>
        <v/>
      </c>
      <c r="F201" s="18"/>
      <c r="G201" s="21"/>
      <c r="H201" s="23"/>
      <c r="I201" s="23"/>
    </row>
    <row r="202" customFormat="false" ht="15" hidden="false" customHeight="false" outlineLevel="0" collapsed="false">
      <c r="A202" s="19" t="str">
        <f aca="false">IF(OR(H202&lt;&gt;"",I202&lt;&gt;""),ROW()-3,"")</f>
        <v/>
      </c>
      <c r="B202" s="20"/>
      <c r="C202" s="18"/>
      <c r="D202" s="21"/>
      <c r="E202" s="22" t="str">
        <f aca="false">IFERROR(INDEX(Comptes!$B$4:$B$50,MATCH($D202,Comptes!$A$4:$A$50,0)),"")</f>
        <v/>
      </c>
      <c r="F202" s="18"/>
      <c r="G202" s="21"/>
      <c r="H202" s="23"/>
      <c r="I202" s="23"/>
    </row>
    <row r="203" customFormat="false" ht="15" hidden="false" customHeight="false" outlineLevel="0" collapsed="false">
      <c r="A203" s="19" t="str">
        <f aca="false">IF(OR(H203&lt;&gt;"",I203&lt;&gt;""),ROW()-3,"")</f>
        <v/>
      </c>
      <c r="B203" s="20"/>
      <c r="C203" s="18"/>
      <c r="D203" s="21"/>
      <c r="E203" s="22" t="str">
        <f aca="false">IFERROR(INDEX(Comptes!$B$4:$B$50,MATCH($D203,Comptes!$A$4:$A$50,0)),"")</f>
        <v/>
      </c>
      <c r="F203" s="18"/>
      <c r="G203" s="21"/>
      <c r="H203" s="23"/>
      <c r="I203" s="23"/>
    </row>
    <row r="204" customFormat="false" ht="15" hidden="false" customHeight="false" outlineLevel="0" collapsed="false">
      <c r="A204" s="19" t="str">
        <f aca="false">IF(OR(H204&lt;&gt;"",I204&lt;&gt;""),ROW()-3,"")</f>
        <v/>
      </c>
      <c r="B204" s="20"/>
      <c r="C204" s="18"/>
      <c r="D204" s="21"/>
      <c r="E204" s="22" t="str">
        <f aca="false">IFERROR(INDEX(Comptes!$B$4:$B$50,MATCH($D204,Comptes!$A$4:$A$50,0)),"")</f>
        <v/>
      </c>
      <c r="F204" s="18"/>
      <c r="G204" s="21"/>
      <c r="H204" s="23"/>
      <c r="I204" s="23"/>
    </row>
    <row r="205" customFormat="false" ht="15" hidden="false" customHeight="false" outlineLevel="0" collapsed="false">
      <c r="A205" s="19" t="str">
        <f aca="false">IF(OR(H205&lt;&gt;"",I205&lt;&gt;""),ROW()-3,"")</f>
        <v/>
      </c>
      <c r="B205" s="20"/>
      <c r="C205" s="18"/>
      <c r="D205" s="21"/>
      <c r="E205" s="22" t="str">
        <f aca="false">IFERROR(INDEX(Comptes!$B$4:$B$50,MATCH($D205,Comptes!$A$4:$A$50,0)),"")</f>
        <v/>
      </c>
      <c r="F205" s="18"/>
      <c r="G205" s="21"/>
      <c r="H205" s="23"/>
      <c r="I205" s="23"/>
    </row>
    <row r="206" customFormat="false" ht="15" hidden="false" customHeight="false" outlineLevel="0" collapsed="false">
      <c r="A206" s="19" t="str">
        <f aca="false">IF(OR(H206&lt;&gt;"",I206&lt;&gt;""),ROW()-3,"")</f>
        <v/>
      </c>
      <c r="B206" s="20"/>
      <c r="C206" s="18"/>
      <c r="D206" s="21"/>
      <c r="E206" s="22" t="str">
        <f aca="false">IFERROR(INDEX(Comptes!$B$4:$B$50,MATCH($D206,Comptes!$A$4:$A$50,0)),"")</f>
        <v/>
      </c>
      <c r="F206" s="18"/>
      <c r="G206" s="21"/>
      <c r="H206" s="23"/>
      <c r="I206" s="23"/>
    </row>
    <row r="207" customFormat="false" ht="15" hidden="false" customHeight="false" outlineLevel="0" collapsed="false">
      <c r="A207" s="19" t="str">
        <f aca="false">IF(OR(H207&lt;&gt;"",I207&lt;&gt;""),ROW()-3,"")</f>
        <v/>
      </c>
      <c r="B207" s="20"/>
      <c r="C207" s="18"/>
      <c r="D207" s="21"/>
      <c r="E207" s="22" t="str">
        <f aca="false">IFERROR(INDEX(Comptes!$B$4:$B$50,MATCH($D207,Comptes!$A$4:$A$50,0)),"")</f>
        <v/>
      </c>
      <c r="F207" s="18"/>
      <c r="G207" s="21"/>
      <c r="H207" s="23"/>
      <c r="I207" s="23"/>
    </row>
    <row r="208" customFormat="false" ht="15" hidden="false" customHeight="false" outlineLevel="0" collapsed="false">
      <c r="A208" s="19" t="str">
        <f aca="false">IF(OR(H208&lt;&gt;"",I208&lt;&gt;""),ROW()-3,"")</f>
        <v/>
      </c>
      <c r="B208" s="20"/>
      <c r="C208" s="18"/>
      <c r="D208" s="21"/>
      <c r="E208" s="22" t="str">
        <f aca="false">IFERROR(INDEX(Comptes!$B$4:$B$50,MATCH($D208,Comptes!$A$4:$A$50,0)),"")</f>
        <v/>
      </c>
      <c r="F208" s="18"/>
      <c r="G208" s="21"/>
      <c r="H208" s="23"/>
      <c r="I208" s="23"/>
    </row>
    <row r="209" customFormat="false" ht="15" hidden="false" customHeight="false" outlineLevel="0" collapsed="false">
      <c r="A209" s="19" t="str">
        <f aca="false">IF(OR(H209&lt;&gt;"",I209&lt;&gt;""),ROW()-3,"")</f>
        <v/>
      </c>
      <c r="B209" s="20"/>
      <c r="C209" s="18"/>
      <c r="D209" s="21"/>
      <c r="E209" s="22" t="str">
        <f aca="false">IFERROR(INDEX(Comptes!$B$4:$B$50,MATCH($D209,Comptes!$A$4:$A$50,0)),"")</f>
        <v/>
      </c>
      <c r="F209" s="18"/>
      <c r="G209" s="21"/>
      <c r="H209" s="23"/>
      <c r="I209" s="23"/>
    </row>
    <row r="210" customFormat="false" ht="15" hidden="false" customHeight="false" outlineLevel="0" collapsed="false">
      <c r="A210" s="19" t="str">
        <f aca="false">IF(OR(H210&lt;&gt;"",I210&lt;&gt;""),ROW()-3,"")</f>
        <v/>
      </c>
      <c r="B210" s="20"/>
      <c r="C210" s="18"/>
      <c r="D210" s="21"/>
      <c r="E210" s="22" t="str">
        <f aca="false">IFERROR(INDEX(Comptes!$B$4:$B$50,MATCH($D210,Comptes!$A$4:$A$50,0)),"")</f>
        <v/>
      </c>
      <c r="F210" s="18"/>
      <c r="G210" s="21"/>
      <c r="H210" s="23"/>
      <c r="I210" s="23"/>
    </row>
    <row r="211" customFormat="false" ht="15" hidden="false" customHeight="false" outlineLevel="0" collapsed="false">
      <c r="A211" s="19" t="str">
        <f aca="false">IF(OR(H211&lt;&gt;"",I211&lt;&gt;""),ROW()-3,"")</f>
        <v/>
      </c>
      <c r="B211" s="20"/>
      <c r="C211" s="18"/>
      <c r="D211" s="21"/>
      <c r="E211" s="22" t="str">
        <f aca="false">IFERROR(INDEX(Comptes!$B$4:$B$50,MATCH($D211,Comptes!$A$4:$A$50,0)),"")</f>
        <v/>
      </c>
      <c r="F211" s="18"/>
      <c r="G211" s="21"/>
      <c r="H211" s="23"/>
      <c r="I211" s="23"/>
    </row>
    <row r="212" customFormat="false" ht="15" hidden="false" customHeight="false" outlineLevel="0" collapsed="false">
      <c r="A212" s="19" t="str">
        <f aca="false">IF(OR(H212&lt;&gt;"",I212&lt;&gt;""),ROW()-3,"")</f>
        <v/>
      </c>
      <c r="B212" s="20"/>
      <c r="C212" s="18"/>
      <c r="D212" s="21"/>
      <c r="E212" s="22" t="str">
        <f aca="false">IFERROR(INDEX(Comptes!$B$4:$B$50,MATCH($D212,Comptes!$A$4:$A$50,0)),"")</f>
        <v/>
      </c>
      <c r="F212" s="18"/>
      <c r="G212" s="21"/>
      <c r="H212" s="23"/>
      <c r="I212" s="23"/>
    </row>
    <row r="213" customFormat="false" ht="15" hidden="false" customHeight="false" outlineLevel="0" collapsed="false">
      <c r="A213" s="19" t="str">
        <f aca="false">IF(OR(H213&lt;&gt;"",I213&lt;&gt;""),ROW()-3,"")</f>
        <v/>
      </c>
      <c r="B213" s="20"/>
      <c r="C213" s="18"/>
      <c r="D213" s="21"/>
      <c r="E213" s="22" t="str">
        <f aca="false">IFERROR(INDEX(Comptes!$B$4:$B$50,MATCH($D213,Comptes!$A$4:$A$50,0)),"")</f>
        <v/>
      </c>
      <c r="F213" s="18"/>
      <c r="G213" s="21"/>
      <c r="H213" s="23"/>
      <c r="I213" s="23"/>
    </row>
    <row r="214" customFormat="false" ht="15" hidden="false" customHeight="false" outlineLevel="0" collapsed="false">
      <c r="A214" s="19" t="str">
        <f aca="false">IF(OR(H214&lt;&gt;"",I214&lt;&gt;""),ROW()-3,"")</f>
        <v/>
      </c>
      <c r="B214" s="20"/>
      <c r="C214" s="18"/>
      <c r="D214" s="21"/>
      <c r="E214" s="22" t="str">
        <f aca="false">IFERROR(INDEX(Comptes!$B$4:$B$50,MATCH($D214,Comptes!$A$4:$A$50,0)),"")</f>
        <v/>
      </c>
      <c r="F214" s="18"/>
      <c r="G214" s="21"/>
      <c r="H214" s="23"/>
      <c r="I214" s="23"/>
    </row>
    <row r="215" customFormat="false" ht="15" hidden="false" customHeight="false" outlineLevel="0" collapsed="false">
      <c r="A215" s="19" t="str">
        <f aca="false">IF(OR(H215&lt;&gt;"",I215&lt;&gt;""),ROW()-3,"")</f>
        <v/>
      </c>
      <c r="B215" s="20"/>
      <c r="C215" s="18"/>
      <c r="D215" s="21"/>
      <c r="E215" s="22" t="str">
        <f aca="false">IFERROR(INDEX(Comptes!$B$4:$B$50,MATCH($D215,Comptes!$A$4:$A$50,0)),"")</f>
        <v/>
      </c>
      <c r="F215" s="18"/>
      <c r="G215" s="21"/>
      <c r="H215" s="23"/>
      <c r="I215" s="23"/>
    </row>
    <row r="216" customFormat="false" ht="15" hidden="false" customHeight="false" outlineLevel="0" collapsed="false">
      <c r="A216" s="19" t="str">
        <f aca="false">IF(OR(H216&lt;&gt;"",I216&lt;&gt;""),ROW()-3,"")</f>
        <v/>
      </c>
      <c r="B216" s="20"/>
      <c r="C216" s="18"/>
      <c r="D216" s="21"/>
      <c r="E216" s="22" t="str">
        <f aca="false">IFERROR(INDEX(Comptes!$B$4:$B$50,MATCH($D216,Comptes!$A$4:$A$50,0)),"")</f>
        <v/>
      </c>
      <c r="F216" s="18"/>
      <c r="G216" s="21"/>
      <c r="H216" s="23"/>
      <c r="I216" s="23"/>
    </row>
    <row r="217" customFormat="false" ht="15" hidden="false" customHeight="false" outlineLevel="0" collapsed="false">
      <c r="A217" s="19" t="str">
        <f aca="false">IF(OR(H217&lt;&gt;"",I217&lt;&gt;""),ROW()-3,"")</f>
        <v/>
      </c>
      <c r="B217" s="20"/>
      <c r="C217" s="18"/>
      <c r="D217" s="21"/>
      <c r="E217" s="22" t="str">
        <f aca="false">IFERROR(INDEX(Comptes!$B$4:$B$50,MATCH($D217,Comptes!$A$4:$A$50,0)),"")</f>
        <v/>
      </c>
      <c r="F217" s="18"/>
      <c r="G217" s="21"/>
      <c r="H217" s="23"/>
      <c r="I217" s="23"/>
    </row>
    <row r="218" customFormat="false" ht="15" hidden="false" customHeight="false" outlineLevel="0" collapsed="false">
      <c r="A218" s="19" t="str">
        <f aca="false">IF(OR(H218&lt;&gt;"",I218&lt;&gt;""),ROW()-3,"")</f>
        <v/>
      </c>
      <c r="B218" s="20"/>
      <c r="C218" s="18"/>
      <c r="D218" s="21"/>
      <c r="E218" s="22" t="str">
        <f aca="false">IFERROR(INDEX(Comptes!$B$4:$B$50,MATCH($D218,Comptes!$A$4:$A$50,0)),"")</f>
        <v/>
      </c>
      <c r="F218" s="18"/>
      <c r="G218" s="21"/>
      <c r="H218" s="23"/>
      <c r="I218" s="23"/>
    </row>
    <row r="219" customFormat="false" ht="15" hidden="false" customHeight="false" outlineLevel="0" collapsed="false">
      <c r="A219" s="19" t="str">
        <f aca="false">IF(OR(H219&lt;&gt;"",I219&lt;&gt;""),ROW()-3,"")</f>
        <v/>
      </c>
      <c r="B219" s="20"/>
      <c r="C219" s="18"/>
      <c r="D219" s="21"/>
      <c r="E219" s="22" t="str">
        <f aca="false">IFERROR(INDEX(Comptes!$B$4:$B$50,MATCH($D219,Comptes!$A$4:$A$50,0)),"")</f>
        <v/>
      </c>
      <c r="F219" s="18"/>
      <c r="G219" s="21"/>
      <c r="H219" s="23"/>
      <c r="I219" s="23"/>
    </row>
    <row r="220" customFormat="false" ht="15" hidden="false" customHeight="false" outlineLevel="0" collapsed="false">
      <c r="A220" s="19" t="str">
        <f aca="false">IF(OR(H220&lt;&gt;"",I220&lt;&gt;""),ROW()-3,"")</f>
        <v/>
      </c>
      <c r="B220" s="20"/>
      <c r="C220" s="18"/>
      <c r="D220" s="21"/>
      <c r="E220" s="22" t="str">
        <f aca="false">IFERROR(INDEX(Comptes!$B$4:$B$50,MATCH($D220,Comptes!$A$4:$A$50,0)),"")</f>
        <v/>
      </c>
      <c r="F220" s="18"/>
      <c r="G220" s="21"/>
      <c r="H220" s="23"/>
      <c r="I220" s="23"/>
    </row>
    <row r="221" customFormat="false" ht="15" hidden="false" customHeight="false" outlineLevel="0" collapsed="false">
      <c r="A221" s="19" t="str">
        <f aca="false">IF(OR(H221&lt;&gt;"",I221&lt;&gt;""),ROW()-3,"")</f>
        <v/>
      </c>
      <c r="B221" s="20"/>
      <c r="C221" s="18"/>
      <c r="D221" s="21"/>
      <c r="E221" s="22" t="str">
        <f aca="false">IFERROR(INDEX(Comptes!$B$4:$B$50,MATCH($D221,Comptes!$A$4:$A$50,0)),"")</f>
        <v/>
      </c>
      <c r="F221" s="18"/>
      <c r="G221" s="21"/>
      <c r="H221" s="23"/>
      <c r="I221" s="23"/>
    </row>
    <row r="222" customFormat="false" ht="15" hidden="false" customHeight="false" outlineLevel="0" collapsed="false">
      <c r="A222" s="19" t="str">
        <f aca="false">IF(OR(H222&lt;&gt;"",I222&lt;&gt;""),ROW()-3,"")</f>
        <v/>
      </c>
      <c r="B222" s="20"/>
      <c r="C222" s="18"/>
      <c r="D222" s="21"/>
      <c r="E222" s="22" t="str">
        <f aca="false">IFERROR(INDEX(Comptes!$B$4:$B$50,MATCH($D222,Comptes!$A$4:$A$50,0)),"")</f>
        <v/>
      </c>
      <c r="F222" s="18"/>
      <c r="G222" s="21"/>
      <c r="H222" s="23"/>
      <c r="I222" s="23"/>
    </row>
    <row r="223" customFormat="false" ht="15" hidden="false" customHeight="false" outlineLevel="0" collapsed="false">
      <c r="A223" s="19" t="str">
        <f aca="false">IF(OR(H223&lt;&gt;"",I223&lt;&gt;""),ROW()-3,"")</f>
        <v/>
      </c>
      <c r="B223" s="20"/>
      <c r="C223" s="18"/>
      <c r="D223" s="21"/>
      <c r="E223" s="22" t="str">
        <f aca="false">IFERROR(INDEX(Comptes!$B$4:$B$50,MATCH($D223,Comptes!$A$4:$A$50,0)),"")</f>
        <v/>
      </c>
      <c r="F223" s="18"/>
      <c r="G223" s="21"/>
      <c r="H223" s="23"/>
      <c r="I223" s="23"/>
    </row>
    <row r="224" customFormat="false" ht="15" hidden="false" customHeight="false" outlineLevel="0" collapsed="false">
      <c r="A224" s="19" t="str">
        <f aca="false">IF(OR(H224&lt;&gt;"",I224&lt;&gt;""),ROW()-3,"")</f>
        <v/>
      </c>
      <c r="B224" s="20"/>
      <c r="C224" s="18"/>
      <c r="D224" s="21"/>
      <c r="E224" s="22" t="str">
        <f aca="false">IFERROR(INDEX(Comptes!$B$4:$B$50,MATCH($D224,Comptes!$A$4:$A$50,0)),"")</f>
        <v/>
      </c>
      <c r="F224" s="18"/>
      <c r="G224" s="21"/>
      <c r="H224" s="23"/>
      <c r="I224" s="23"/>
    </row>
    <row r="225" customFormat="false" ht="15" hidden="false" customHeight="false" outlineLevel="0" collapsed="false">
      <c r="A225" s="19" t="str">
        <f aca="false">IF(OR(H225&lt;&gt;"",I225&lt;&gt;""),ROW()-3,"")</f>
        <v/>
      </c>
      <c r="B225" s="20"/>
      <c r="C225" s="18"/>
      <c r="D225" s="21"/>
      <c r="E225" s="22" t="str">
        <f aca="false">IFERROR(INDEX(Comptes!$B$4:$B$50,MATCH($D225,Comptes!$A$4:$A$50,0)),"")</f>
        <v/>
      </c>
      <c r="F225" s="18"/>
      <c r="G225" s="21"/>
      <c r="H225" s="23"/>
      <c r="I225" s="23"/>
    </row>
    <row r="226" customFormat="false" ht="15" hidden="false" customHeight="false" outlineLevel="0" collapsed="false">
      <c r="A226" s="19" t="str">
        <f aca="false">IF(OR(H226&lt;&gt;"",I226&lt;&gt;""),ROW()-3,"")</f>
        <v/>
      </c>
      <c r="B226" s="20"/>
      <c r="C226" s="18"/>
      <c r="D226" s="21"/>
      <c r="E226" s="22" t="str">
        <f aca="false">IFERROR(INDEX(Comptes!$B$4:$B$50,MATCH($D226,Comptes!$A$4:$A$50,0)),"")</f>
        <v/>
      </c>
      <c r="F226" s="18"/>
      <c r="G226" s="21"/>
      <c r="H226" s="23"/>
      <c r="I226" s="23"/>
    </row>
    <row r="227" customFormat="false" ht="15" hidden="false" customHeight="false" outlineLevel="0" collapsed="false">
      <c r="A227" s="19" t="str">
        <f aca="false">IF(OR(H227&lt;&gt;"",I227&lt;&gt;""),ROW()-3,"")</f>
        <v/>
      </c>
      <c r="B227" s="20"/>
      <c r="C227" s="18"/>
      <c r="D227" s="21"/>
      <c r="E227" s="22" t="str">
        <f aca="false">IFERROR(INDEX(Comptes!$B$4:$B$50,MATCH($D227,Comptes!$A$4:$A$50,0)),"")</f>
        <v/>
      </c>
      <c r="F227" s="18"/>
      <c r="G227" s="21"/>
      <c r="H227" s="23"/>
      <c r="I227" s="23"/>
    </row>
    <row r="228" customFormat="false" ht="15" hidden="false" customHeight="false" outlineLevel="0" collapsed="false">
      <c r="A228" s="19" t="str">
        <f aca="false">IF(OR(H228&lt;&gt;"",I228&lt;&gt;""),ROW()-3,"")</f>
        <v/>
      </c>
      <c r="B228" s="20"/>
      <c r="C228" s="18"/>
      <c r="D228" s="21"/>
      <c r="E228" s="22" t="str">
        <f aca="false">IFERROR(INDEX(Comptes!$B$4:$B$50,MATCH($D228,Comptes!$A$4:$A$50,0)),"")</f>
        <v/>
      </c>
      <c r="F228" s="18"/>
      <c r="G228" s="21"/>
      <c r="H228" s="23"/>
      <c r="I228" s="23"/>
    </row>
    <row r="229" customFormat="false" ht="15" hidden="false" customHeight="false" outlineLevel="0" collapsed="false">
      <c r="A229" s="19" t="str">
        <f aca="false">IF(OR(H229&lt;&gt;"",I229&lt;&gt;""),ROW()-3,"")</f>
        <v/>
      </c>
      <c r="B229" s="20"/>
      <c r="C229" s="18"/>
      <c r="D229" s="21"/>
      <c r="E229" s="22" t="str">
        <f aca="false">IFERROR(INDEX(Comptes!$B$4:$B$50,MATCH($D229,Comptes!$A$4:$A$50,0)),"")</f>
        <v/>
      </c>
      <c r="F229" s="18"/>
      <c r="G229" s="21"/>
      <c r="H229" s="23"/>
      <c r="I229" s="23"/>
    </row>
    <row r="230" customFormat="false" ht="15" hidden="false" customHeight="false" outlineLevel="0" collapsed="false">
      <c r="A230" s="19" t="str">
        <f aca="false">IF(OR(H230&lt;&gt;"",I230&lt;&gt;""),ROW()-3,"")</f>
        <v/>
      </c>
      <c r="B230" s="20"/>
      <c r="C230" s="18"/>
      <c r="D230" s="21"/>
      <c r="E230" s="22" t="str">
        <f aca="false">IFERROR(INDEX(Comptes!$B$4:$B$50,MATCH($D230,Comptes!$A$4:$A$50,0)),"")</f>
        <v/>
      </c>
      <c r="F230" s="18"/>
      <c r="G230" s="21"/>
      <c r="H230" s="23"/>
      <c r="I230" s="23"/>
    </row>
    <row r="231" customFormat="false" ht="15" hidden="false" customHeight="false" outlineLevel="0" collapsed="false">
      <c r="A231" s="19" t="str">
        <f aca="false">IF(OR(H231&lt;&gt;"",I231&lt;&gt;""),ROW()-3,"")</f>
        <v/>
      </c>
      <c r="B231" s="20"/>
      <c r="C231" s="18"/>
      <c r="D231" s="21"/>
      <c r="E231" s="22" t="str">
        <f aca="false">IFERROR(INDEX(Comptes!$B$4:$B$50,MATCH($D231,Comptes!$A$4:$A$50,0)),"")</f>
        <v/>
      </c>
      <c r="F231" s="18"/>
      <c r="G231" s="21"/>
      <c r="H231" s="23"/>
      <c r="I231" s="23"/>
    </row>
    <row r="232" customFormat="false" ht="15" hidden="false" customHeight="false" outlineLevel="0" collapsed="false">
      <c r="A232" s="19" t="str">
        <f aca="false">IF(OR(H232&lt;&gt;"",I232&lt;&gt;""),ROW()-3,"")</f>
        <v/>
      </c>
      <c r="B232" s="20"/>
      <c r="C232" s="18"/>
      <c r="D232" s="21"/>
      <c r="E232" s="22" t="str">
        <f aca="false">IFERROR(INDEX(Comptes!$B$4:$B$50,MATCH($D232,Comptes!$A$4:$A$50,0)),"")</f>
        <v/>
      </c>
      <c r="F232" s="18"/>
      <c r="G232" s="21"/>
      <c r="H232" s="23"/>
      <c r="I232" s="23"/>
    </row>
    <row r="233" customFormat="false" ht="15" hidden="false" customHeight="false" outlineLevel="0" collapsed="false">
      <c r="A233" s="19" t="str">
        <f aca="false">IF(OR(H233&lt;&gt;"",I233&lt;&gt;""),ROW()-3,"")</f>
        <v/>
      </c>
      <c r="B233" s="20"/>
      <c r="C233" s="18"/>
      <c r="D233" s="21"/>
      <c r="E233" s="22" t="str">
        <f aca="false">IFERROR(INDEX(Comptes!$B$4:$B$50,MATCH($D233,Comptes!$A$4:$A$50,0)),"")</f>
        <v/>
      </c>
      <c r="F233" s="18"/>
      <c r="G233" s="21"/>
      <c r="H233" s="23"/>
      <c r="I233" s="23"/>
    </row>
    <row r="234" customFormat="false" ht="15" hidden="false" customHeight="false" outlineLevel="0" collapsed="false">
      <c r="A234" s="19" t="str">
        <f aca="false">IF(OR(H234&lt;&gt;"",I234&lt;&gt;""),ROW()-3,"")</f>
        <v/>
      </c>
      <c r="B234" s="20"/>
      <c r="C234" s="18"/>
      <c r="D234" s="21"/>
      <c r="E234" s="22" t="str">
        <f aca="false">IFERROR(INDEX(Comptes!$B$4:$B$50,MATCH($D234,Comptes!$A$4:$A$50,0)),"")</f>
        <v/>
      </c>
      <c r="F234" s="18"/>
      <c r="G234" s="21"/>
      <c r="H234" s="23"/>
      <c r="I234" s="23"/>
    </row>
    <row r="235" customFormat="false" ht="15" hidden="false" customHeight="false" outlineLevel="0" collapsed="false">
      <c r="A235" s="19" t="str">
        <f aca="false">IF(OR(H235&lt;&gt;"",I235&lt;&gt;""),ROW()-3,"")</f>
        <v/>
      </c>
      <c r="B235" s="20"/>
      <c r="C235" s="18"/>
      <c r="D235" s="21"/>
      <c r="E235" s="22" t="str">
        <f aca="false">IFERROR(INDEX(Comptes!$B$4:$B$50,MATCH($D235,Comptes!$A$4:$A$50,0)),"")</f>
        <v/>
      </c>
      <c r="F235" s="18"/>
      <c r="G235" s="21"/>
      <c r="H235" s="23"/>
      <c r="I235" s="23"/>
    </row>
    <row r="236" customFormat="false" ht="15" hidden="false" customHeight="false" outlineLevel="0" collapsed="false">
      <c r="A236" s="19" t="str">
        <f aca="false">IF(OR(H236&lt;&gt;"",I236&lt;&gt;""),ROW()-3,"")</f>
        <v/>
      </c>
      <c r="B236" s="20"/>
      <c r="C236" s="18"/>
      <c r="D236" s="21"/>
      <c r="E236" s="22" t="str">
        <f aca="false">IFERROR(INDEX(Comptes!$B$4:$B$50,MATCH($D236,Comptes!$A$4:$A$50,0)),"")</f>
        <v/>
      </c>
      <c r="F236" s="18"/>
      <c r="G236" s="21"/>
      <c r="H236" s="23"/>
      <c r="I236" s="23"/>
    </row>
    <row r="237" customFormat="false" ht="15" hidden="false" customHeight="false" outlineLevel="0" collapsed="false">
      <c r="A237" s="19" t="str">
        <f aca="false">IF(OR(H237&lt;&gt;"",I237&lt;&gt;""),ROW()-3,"")</f>
        <v/>
      </c>
      <c r="B237" s="20"/>
      <c r="C237" s="18"/>
      <c r="D237" s="21"/>
      <c r="E237" s="22" t="str">
        <f aca="false">IFERROR(INDEX(Comptes!$B$4:$B$50,MATCH($D237,Comptes!$A$4:$A$50,0)),"")</f>
        <v/>
      </c>
      <c r="F237" s="18"/>
      <c r="G237" s="21"/>
      <c r="H237" s="23"/>
      <c r="I237" s="23"/>
    </row>
    <row r="238" customFormat="false" ht="15" hidden="false" customHeight="false" outlineLevel="0" collapsed="false">
      <c r="A238" s="19" t="str">
        <f aca="false">IF(OR(H238&lt;&gt;"",I238&lt;&gt;""),ROW()-3,"")</f>
        <v/>
      </c>
      <c r="B238" s="20"/>
      <c r="C238" s="18"/>
      <c r="D238" s="21"/>
      <c r="E238" s="22" t="str">
        <f aca="false">IFERROR(INDEX(Comptes!$B$4:$B$50,MATCH($D238,Comptes!$A$4:$A$50,0)),"")</f>
        <v/>
      </c>
      <c r="F238" s="18"/>
      <c r="G238" s="21"/>
      <c r="H238" s="23"/>
      <c r="I238" s="23"/>
    </row>
    <row r="239" customFormat="false" ht="15" hidden="false" customHeight="false" outlineLevel="0" collapsed="false">
      <c r="A239" s="19" t="str">
        <f aca="false">IF(OR(H239&lt;&gt;"",I239&lt;&gt;""),ROW()-3,"")</f>
        <v/>
      </c>
      <c r="B239" s="20"/>
      <c r="C239" s="18"/>
      <c r="D239" s="21"/>
      <c r="E239" s="22" t="str">
        <f aca="false">IFERROR(INDEX(Comptes!$B$4:$B$50,MATCH($D239,Comptes!$A$4:$A$50,0)),"")</f>
        <v/>
      </c>
      <c r="F239" s="18"/>
      <c r="G239" s="21"/>
      <c r="H239" s="23"/>
      <c r="I239" s="23"/>
    </row>
    <row r="240" customFormat="false" ht="15" hidden="false" customHeight="false" outlineLevel="0" collapsed="false">
      <c r="A240" s="19" t="str">
        <f aca="false">IF(OR(H240&lt;&gt;"",I240&lt;&gt;""),ROW()-3,"")</f>
        <v/>
      </c>
      <c r="B240" s="20"/>
      <c r="C240" s="18"/>
      <c r="D240" s="21"/>
      <c r="E240" s="22" t="str">
        <f aca="false">IFERROR(INDEX(Comptes!$B$4:$B$50,MATCH($D240,Comptes!$A$4:$A$50,0)),"")</f>
        <v/>
      </c>
      <c r="F240" s="18"/>
      <c r="G240" s="21"/>
      <c r="H240" s="23"/>
      <c r="I240" s="23"/>
    </row>
    <row r="241" customFormat="false" ht="15" hidden="false" customHeight="false" outlineLevel="0" collapsed="false">
      <c r="A241" s="19" t="str">
        <f aca="false">IF(OR(H241&lt;&gt;"",I241&lt;&gt;""),ROW()-3,"")</f>
        <v/>
      </c>
      <c r="B241" s="20"/>
      <c r="C241" s="18"/>
      <c r="D241" s="21"/>
      <c r="E241" s="22" t="str">
        <f aca="false">IFERROR(INDEX(Comptes!$B$4:$B$50,MATCH($D241,Comptes!$A$4:$A$50,0)),"")</f>
        <v/>
      </c>
      <c r="F241" s="18"/>
      <c r="G241" s="21"/>
      <c r="H241" s="23"/>
      <c r="I241" s="23"/>
    </row>
    <row r="242" customFormat="false" ht="15" hidden="false" customHeight="false" outlineLevel="0" collapsed="false">
      <c r="A242" s="19" t="str">
        <f aca="false">IF(OR(H242&lt;&gt;"",I242&lt;&gt;""),ROW()-3,"")</f>
        <v/>
      </c>
      <c r="B242" s="20"/>
      <c r="C242" s="18"/>
      <c r="D242" s="21"/>
      <c r="E242" s="22" t="str">
        <f aca="false">IFERROR(INDEX(Comptes!$B$4:$B$50,MATCH($D242,Comptes!$A$4:$A$50,0)),"")</f>
        <v/>
      </c>
      <c r="F242" s="18"/>
      <c r="G242" s="21"/>
      <c r="H242" s="23"/>
      <c r="I242" s="23"/>
    </row>
    <row r="243" customFormat="false" ht="15" hidden="false" customHeight="false" outlineLevel="0" collapsed="false">
      <c r="A243" s="19" t="str">
        <f aca="false">IF(OR(H243&lt;&gt;"",I243&lt;&gt;""),ROW()-3,"")</f>
        <v/>
      </c>
      <c r="B243" s="20"/>
      <c r="C243" s="18"/>
      <c r="D243" s="21"/>
      <c r="E243" s="22" t="str">
        <f aca="false">IFERROR(INDEX(Comptes!$B$4:$B$50,MATCH($D243,Comptes!$A$4:$A$50,0)),"")</f>
        <v/>
      </c>
      <c r="F243" s="18"/>
      <c r="G243" s="21"/>
      <c r="H243" s="23"/>
      <c r="I243" s="23"/>
    </row>
    <row r="244" customFormat="false" ht="15" hidden="false" customHeight="false" outlineLevel="0" collapsed="false">
      <c r="A244" s="19" t="str">
        <f aca="false">IF(OR(H244&lt;&gt;"",I244&lt;&gt;""),ROW()-3,"")</f>
        <v/>
      </c>
      <c r="B244" s="20"/>
      <c r="C244" s="18"/>
      <c r="D244" s="21"/>
      <c r="E244" s="22" t="str">
        <f aca="false">IFERROR(INDEX(Comptes!$B$4:$B$50,MATCH($D244,Comptes!$A$4:$A$50,0)),"")</f>
        <v/>
      </c>
      <c r="F244" s="18"/>
      <c r="G244" s="21"/>
      <c r="H244" s="23"/>
      <c r="I244" s="23"/>
    </row>
    <row r="245" customFormat="false" ht="15" hidden="false" customHeight="false" outlineLevel="0" collapsed="false">
      <c r="A245" s="19" t="str">
        <f aca="false">IF(OR(H245&lt;&gt;"",I245&lt;&gt;""),ROW()-3,"")</f>
        <v/>
      </c>
      <c r="B245" s="20"/>
      <c r="C245" s="18"/>
      <c r="D245" s="21"/>
      <c r="E245" s="22" t="str">
        <f aca="false">IFERROR(INDEX(Comptes!$B$4:$B$50,MATCH($D245,Comptes!$A$4:$A$50,0)),"")</f>
        <v/>
      </c>
      <c r="F245" s="18"/>
      <c r="G245" s="21"/>
      <c r="H245" s="23"/>
      <c r="I245" s="23"/>
    </row>
    <row r="246" customFormat="false" ht="15" hidden="false" customHeight="false" outlineLevel="0" collapsed="false">
      <c r="A246" s="19" t="str">
        <f aca="false">IF(OR(H246&lt;&gt;"",I246&lt;&gt;""),ROW()-3,"")</f>
        <v/>
      </c>
      <c r="B246" s="20"/>
      <c r="C246" s="18"/>
      <c r="D246" s="21"/>
      <c r="E246" s="22" t="str">
        <f aca="false">IFERROR(INDEX(Comptes!$B$4:$B$50,MATCH($D246,Comptes!$A$4:$A$50,0)),"")</f>
        <v/>
      </c>
      <c r="F246" s="18"/>
      <c r="G246" s="21"/>
      <c r="H246" s="23"/>
      <c r="I246" s="23"/>
    </row>
    <row r="247" customFormat="false" ht="15" hidden="false" customHeight="false" outlineLevel="0" collapsed="false">
      <c r="A247" s="19" t="str">
        <f aca="false">IF(OR(H247&lt;&gt;"",I247&lt;&gt;""),ROW()-3,"")</f>
        <v/>
      </c>
      <c r="B247" s="20"/>
      <c r="C247" s="18"/>
      <c r="D247" s="21"/>
      <c r="E247" s="22" t="str">
        <f aca="false">IFERROR(INDEX(Comptes!$B$4:$B$50,MATCH($D247,Comptes!$A$4:$A$50,0)),"")</f>
        <v/>
      </c>
      <c r="F247" s="18"/>
      <c r="G247" s="21"/>
      <c r="H247" s="23"/>
      <c r="I247" s="23"/>
    </row>
    <row r="248" customFormat="false" ht="15" hidden="false" customHeight="false" outlineLevel="0" collapsed="false">
      <c r="A248" s="19" t="str">
        <f aca="false">IF(OR(H248&lt;&gt;"",I248&lt;&gt;""),ROW()-3,"")</f>
        <v/>
      </c>
      <c r="B248" s="20"/>
      <c r="C248" s="18"/>
      <c r="D248" s="21"/>
      <c r="E248" s="22" t="str">
        <f aca="false">IFERROR(INDEX(Comptes!$B$4:$B$50,MATCH($D248,Comptes!$A$4:$A$50,0)),"")</f>
        <v/>
      </c>
      <c r="F248" s="18"/>
      <c r="G248" s="21"/>
      <c r="H248" s="23"/>
      <c r="I248" s="23"/>
    </row>
    <row r="249" customFormat="false" ht="15" hidden="false" customHeight="false" outlineLevel="0" collapsed="false">
      <c r="A249" s="19" t="str">
        <f aca="false">IF(OR(H249&lt;&gt;"",I249&lt;&gt;""),ROW()-3,"")</f>
        <v/>
      </c>
      <c r="B249" s="20"/>
      <c r="C249" s="18"/>
      <c r="D249" s="21"/>
      <c r="E249" s="22" t="str">
        <f aca="false">IFERROR(INDEX(Comptes!$B$4:$B$50,MATCH($D249,Comptes!$A$4:$A$50,0)),"")</f>
        <v/>
      </c>
      <c r="F249" s="18"/>
      <c r="G249" s="21"/>
      <c r="H249" s="23"/>
      <c r="I249" s="23"/>
    </row>
    <row r="250" customFormat="false" ht="15" hidden="false" customHeight="false" outlineLevel="0" collapsed="false">
      <c r="A250" s="19" t="str">
        <f aca="false">IF(OR(H250&lt;&gt;"",I250&lt;&gt;""),ROW()-3,"")</f>
        <v/>
      </c>
      <c r="B250" s="20"/>
      <c r="C250" s="18"/>
      <c r="D250" s="21"/>
      <c r="E250" s="22" t="str">
        <f aca="false">IFERROR(INDEX(Comptes!$B$4:$B$50,MATCH($D250,Comptes!$A$4:$A$50,0)),"")</f>
        <v/>
      </c>
      <c r="F250" s="18"/>
      <c r="G250" s="21"/>
      <c r="H250" s="23"/>
      <c r="I250" s="23"/>
    </row>
    <row r="251" customFormat="false" ht="15" hidden="false" customHeight="false" outlineLevel="0" collapsed="false">
      <c r="A251" s="19" t="str">
        <f aca="false">IF(OR(H251&lt;&gt;"",I251&lt;&gt;""),ROW()-3,"")</f>
        <v/>
      </c>
      <c r="B251" s="20"/>
      <c r="C251" s="18"/>
      <c r="D251" s="21"/>
      <c r="E251" s="22" t="str">
        <f aca="false">IFERROR(INDEX(Comptes!$B$4:$B$50,MATCH($D251,Comptes!$A$4:$A$50,0)),"")</f>
        <v/>
      </c>
      <c r="F251" s="18"/>
      <c r="G251" s="21"/>
      <c r="H251" s="23"/>
      <c r="I251" s="23"/>
    </row>
    <row r="252" customFormat="false" ht="15" hidden="false" customHeight="false" outlineLevel="0" collapsed="false">
      <c r="A252" s="19" t="str">
        <f aca="false">IF(OR(H252&lt;&gt;"",I252&lt;&gt;""),ROW()-3,"")</f>
        <v/>
      </c>
      <c r="B252" s="20"/>
      <c r="C252" s="18"/>
      <c r="D252" s="21"/>
      <c r="E252" s="22" t="str">
        <f aca="false">IFERROR(INDEX(Comptes!$B$4:$B$50,MATCH($D252,Comptes!$A$4:$A$50,0)),"")</f>
        <v/>
      </c>
      <c r="F252" s="18"/>
      <c r="G252" s="21"/>
      <c r="H252" s="23"/>
      <c r="I252" s="23"/>
    </row>
    <row r="253" customFormat="false" ht="15" hidden="false" customHeight="false" outlineLevel="0" collapsed="false">
      <c r="A253" s="19" t="str">
        <f aca="false">IF(OR(H253&lt;&gt;"",I253&lt;&gt;""),ROW()-3,"")</f>
        <v/>
      </c>
      <c r="B253" s="20"/>
      <c r="C253" s="18"/>
      <c r="D253" s="21"/>
      <c r="E253" s="22" t="str">
        <f aca="false">IFERROR(INDEX(Comptes!$B$4:$B$50,MATCH($D253,Comptes!$A$4:$A$50,0)),"")</f>
        <v/>
      </c>
      <c r="F253" s="18"/>
      <c r="G253" s="21"/>
      <c r="H253" s="23"/>
      <c r="I253" s="23"/>
    </row>
    <row r="254" customFormat="false" ht="15" hidden="false" customHeight="false" outlineLevel="0" collapsed="false">
      <c r="A254" s="19" t="str">
        <f aca="false">IF(OR(H254&lt;&gt;"",I254&lt;&gt;""),ROW()-3,"")</f>
        <v/>
      </c>
      <c r="B254" s="20"/>
      <c r="C254" s="18"/>
      <c r="D254" s="21"/>
      <c r="E254" s="22" t="str">
        <f aca="false">IFERROR(INDEX(Comptes!$B$4:$B$50,MATCH($D254,Comptes!$A$4:$A$50,0)),"")</f>
        <v/>
      </c>
      <c r="F254" s="18"/>
      <c r="G254" s="21"/>
      <c r="H254" s="23"/>
      <c r="I254" s="23"/>
    </row>
    <row r="255" customFormat="false" ht="15" hidden="false" customHeight="false" outlineLevel="0" collapsed="false">
      <c r="A255" s="19" t="str">
        <f aca="false">IF(OR(H255&lt;&gt;"",I255&lt;&gt;""),ROW()-3,"")</f>
        <v/>
      </c>
      <c r="B255" s="20"/>
      <c r="C255" s="18"/>
      <c r="D255" s="21"/>
      <c r="E255" s="22" t="str">
        <f aca="false">IFERROR(INDEX(Comptes!$B$4:$B$50,MATCH($D255,Comptes!$A$4:$A$50,0)),"")</f>
        <v/>
      </c>
      <c r="F255" s="18"/>
      <c r="G255" s="21"/>
      <c r="H255" s="23"/>
      <c r="I255" s="23"/>
    </row>
    <row r="256" customFormat="false" ht="15" hidden="false" customHeight="false" outlineLevel="0" collapsed="false">
      <c r="A256" s="19" t="str">
        <f aca="false">IF(OR(H256&lt;&gt;"",I256&lt;&gt;""),ROW()-3,"")</f>
        <v/>
      </c>
      <c r="B256" s="20"/>
      <c r="C256" s="18"/>
      <c r="D256" s="21"/>
      <c r="E256" s="22" t="str">
        <f aca="false">IFERROR(INDEX(Comptes!$B$4:$B$50,MATCH($D256,Comptes!$A$4:$A$50,0)),"")</f>
        <v/>
      </c>
      <c r="F256" s="18"/>
      <c r="G256" s="21"/>
      <c r="H256" s="23"/>
      <c r="I256" s="23"/>
    </row>
    <row r="257" customFormat="false" ht="15" hidden="false" customHeight="false" outlineLevel="0" collapsed="false">
      <c r="A257" s="19" t="str">
        <f aca="false">IF(OR(H257&lt;&gt;"",I257&lt;&gt;""),ROW()-3,"")</f>
        <v/>
      </c>
      <c r="B257" s="20"/>
      <c r="C257" s="18"/>
      <c r="D257" s="21"/>
      <c r="E257" s="22" t="str">
        <f aca="false">IFERROR(INDEX(Comptes!$B$4:$B$50,MATCH($D257,Comptes!$A$4:$A$50,0)),"")</f>
        <v/>
      </c>
      <c r="F257" s="18"/>
      <c r="G257" s="21"/>
      <c r="H257" s="23"/>
      <c r="I257" s="23"/>
    </row>
    <row r="258" customFormat="false" ht="15" hidden="false" customHeight="false" outlineLevel="0" collapsed="false">
      <c r="A258" s="19" t="str">
        <f aca="false">IF(OR(H258&lt;&gt;"",I258&lt;&gt;""),ROW()-3,"")</f>
        <v/>
      </c>
      <c r="B258" s="20"/>
      <c r="C258" s="18"/>
      <c r="D258" s="21"/>
      <c r="E258" s="22" t="str">
        <f aca="false">IFERROR(INDEX(Comptes!$B$4:$B$50,MATCH($D258,Comptes!$A$4:$A$50,0)),"")</f>
        <v/>
      </c>
      <c r="F258" s="18"/>
      <c r="G258" s="21"/>
      <c r="H258" s="23"/>
      <c r="I258" s="23"/>
    </row>
    <row r="259" customFormat="false" ht="15" hidden="false" customHeight="false" outlineLevel="0" collapsed="false">
      <c r="A259" s="19" t="str">
        <f aca="false">IF(OR(H259&lt;&gt;"",I259&lt;&gt;""),ROW()-3,"")</f>
        <v/>
      </c>
      <c r="B259" s="20"/>
      <c r="C259" s="18"/>
      <c r="D259" s="21"/>
      <c r="E259" s="22" t="str">
        <f aca="false">IFERROR(INDEX(Comptes!$B$4:$B$50,MATCH($D259,Comptes!$A$4:$A$50,0)),"")</f>
        <v/>
      </c>
      <c r="F259" s="18"/>
      <c r="G259" s="21"/>
      <c r="H259" s="23"/>
      <c r="I259" s="23"/>
    </row>
    <row r="260" customFormat="false" ht="15" hidden="false" customHeight="false" outlineLevel="0" collapsed="false">
      <c r="A260" s="19" t="str">
        <f aca="false">IF(OR(H260&lt;&gt;"",I260&lt;&gt;""),ROW()-3,"")</f>
        <v/>
      </c>
      <c r="B260" s="20"/>
      <c r="C260" s="18"/>
      <c r="D260" s="21"/>
      <c r="E260" s="22" t="str">
        <f aca="false">IFERROR(INDEX(Comptes!$B$4:$B$50,MATCH($D260,Comptes!$A$4:$A$50,0)),"")</f>
        <v/>
      </c>
      <c r="F260" s="18"/>
      <c r="G260" s="21"/>
      <c r="H260" s="23"/>
      <c r="I260" s="23"/>
    </row>
    <row r="261" customFormat="false" ht="15" hidden="false" customHeight="false" outlineLevel="0" collapsed="false">
      <c r="A261" s="19" t="str">
        <f aca="false">IF(OR(H261&lt;&gt;"",I261&lt;&gt;""),ROW()-3,"")</f>
        <v/>
      </c>
      <c r="B261" s="20"/>
      <c r="C261" s="18"/>
      <c r="D261" s="21"/>
      <c r="E261" s="22" t="str">
        <f aca="false">IFERROR(INDEX(Comptes!$B$4:$B$50,MATCH($D261,Comptes!$A$4:$A$50,0)),"")</f>
        <v/>
      </c>
      <c r="F261" s="18"/>
      <c r="G261" s="21"/>
      <c r="H261" s="23"/>
      <c r="I261" s="23"/>
    </row>
    <row r="262" customFormat="false" ht="15" hidden="false" customHeight="false" outlineLevel="0" collapsed="false">
      <c r="A262" s="19" t="str">
        <f aca="false">IF(OR(H262&lt;&gt;"",I262&lt;&gt;""),ROW()-3,"")</f>
        <v/>
      </c>
      <c r="B262" s="20"/>
      <c r="C262" s="18"/>
      <c r="D262" s="21"/>
      <c r="E262" s="22" t="str">
        <f aca="false">IFERROR(INDEX(Comptes!$B$4:$B$50,MATCH($D262,Comptes!$A$4:$A$50,0)),"")</f>
        <v/>
      </c>
      <c r="F262" s="18"/>
      <c r="G262" s="21"/>
      <c r="H262" s="23"/>
      <c r="I262" s="23"/>
    </row>
    <row r="263" customFormat="false" ht="15" hidden="false" customHeight="false" outlineLevel="0" collapsed="false">
      <c r="A263" s="19" t="str">
        <f aca="false">IF(OR(H263&lt;&gt;"",I263&lt;&gt;""),ROW()-3,"")</f>
        <v/>
      </c>
      <c r="B263" s="20"/>
      <c r="C263" s="18"/>
      <c r="D263" s="21"/>
      <c r="E263" s="22" t="str">
        <f aca="false">IFERROR(INDEX(Comptes!$B$4:$B$50,MATCH($D263,Comptes!$A$4:$A$50,0)),"")</f>
        <v/>
      </c>
      <c r="F263" s="18"/>
      <c r="G263" s="21"/>
      <c r="H263" s="23"/>
      <c r="I263" s="23"/>
    </row>
    <row r="264" customFormat="false" ht="15" hidden="false" customHeight="false" outlineLevel="0" collapsed="false">
      <c r="A264" s="19" t="str">
        <f aca="false">IF(OR(H264&lt;&gt;"",I264&lt;&gt;""),ROW()-3,"")</f>
        <v/>
      </c>
      <c r="B264" s="20"/>
      <c r="C264" s="18"/>
      <c r="D264" s="21"/>
      <c r="E264" s="22" t="str">
        <f aca="false">IFERROR(INDEX(Comptes!$B$4:$B$50,MATCH($D264,Comptes!$A$4:$A$50,0)),"")</f>
        <v/>
      </c>
      <c r="F264" s="18"/>
      <c r="G264" s="21"/>
      <c r="H264" s="23"/>
      <c r="I264" s="23"/>
    </row>
    <row r="265" customFormat="false" ht="15" hidden="false" customHeight="false" outlineLevel="0" collapsed="false">
      <c r="A265" s="19" t="str">
        <f aca="false">IF(OR(H265&lt;&gt;"",I265&lt;&gt;""),ROW()-3,"")</f>
        <v/>
      </c>
      <c r="B265" s="20"/>
      <c r="C265" s="18"/>
      <c r="D265" s="21"/>
      <c r="E265" s="22" t="str">
        <f aca="false">IFERROR(INDEX(Comptes!$B$4:$B$50,MATCH($D265,Comptes!$A$4:$A$50,0)),"")</f>
        <v/>
      </c>
      <c r="F265" s="18"/>
      <c r="G265" s="21"/>
      <c r="H265" s="23"/>
      <c r="I265" s="23"/>
    </row>
    <row r="266" customFormat="false" ht="15" hidden="false" customHeight="false" outlineLevel="0" collapsed="false">
      <c r="A266" s="19" t="str">
        <f aca="false">IF(OR(H266&lt;&gt;"",I266&lt;&gt;""),ROW()-3,"")</f>
        <v/>
      </c>
      <c r="B266" s="20"/>
      <c r="C266" s="18"/>
      <c r="D266" s="21"/>
      <c r="E266" s="22" t="str">
        <f aca="false">IFERROR(INDEX(Comptes!$B$4:$B$50,MATCH($D266,Comptes!$A$4:$A$50,0)),"")</f>
        <v/>
      </c>
      <c r="F266" s="18"/>
      <c r="G266" s="21"/>
      <c r="H266" s="23"/>
      <c r="I266" s="23"/>
    </row>
    <row r="267" customFormat="false" ht="15" hidden="false" customHeight="false" outlineLevel="0" collapsed="false">
      <c r="A267" s="19" t="str">
        <f aca="false">IF(OR(H267&lt;&gt;"",I267&lt;&gt;""),ROW()-3,"")</f>
        <v/>
      </c>
      <c r="B267" s="20"/>
      <c r="C267" s="18"/>
      <c r="D267" s="21"/>
      <c r="E267" s="22" t="str">
        <f aca="false">IFERROR(INDEX(Comptes!$B$4:$B$50,MATCH($D267,Comptes!$A$4:$A$50,0)),"")</f>
        <v/>
      </c>
      <c r="F267" s="18"/>
      <c r="G267" s="21"/>
      <c r="H267" s="23"/>
      <c r="I267" s="23"/>
    </row>
    <row r="268" customFormat="false" ht="15" hidden="false" customHeight="false" outlineLevel="0" collapsed="false">
      <c r="A268" s="19" t="str">
        <f aca="false">IF(OR(H268&lt;&gt;"",I268&lt;&gt;""),ROW()-3,"")</f>
        <v/>
      </c>
      <c r="B268" s="20"/>
      <c r="C268" s="18"/>
      <c r="D268" s="21"/>
      <c r="E268" s="22" t="str">
        <f aca="false">IFERROR(INDEX(Comptes!$B$4:$B$50,MATCH($D268,Comptes!$A$4:$A$50,0)),"")</f>
        <v/>
      </c>
      <c r="F268" s="18"/>
      <c r="G268" s="21"/>
      <c r="H268" s="23"/>
      <c r="I268" s="23"/>
    </row>
    <row r="269" customFormat="false" ht="15" hidden="false" customHeight="false" outlineLevel="0" collapsed="false">
      <c r="A269" s="19" t="str">
        <f aca="false">IF(OR(H269&lt;&gt;"",I269&lt;&gt;""),ROW()-3,"")</f>
        <v/>
      </c>
      <c r="B269" s="20"/>
      <c r="C269" s="18"/>
      <c r="D269" s="21"/>
      <c r="E269" s="22" t="str">
        <f aca="false">IFERROR(INDEX(Comptes!$B$4:$B$50,MATCH($D269,Comptes!$A$4:$A$50,0)),"")</f>
        <v/>
      </c>
      <c r="F269" s="18"/>
      <c r="G269" s="21"/>
      <c r="H269" s="23"/>
      <c r="I269" s="23"/>
    </row>
    <row r="270" customFormat="false" ht="15" hidden="false" customHeight="false" outlineLevel="0" collapsed="false">
      <c r="A270" s="19" t="str">
        <f aca="false">IF(OR(H270&lt;&gt;"",I270&lt;&gt;""),ROW()-3,"")</f>
        <v/>
      </c>
      <c r="B270" s="20"/>
      <c r="C270" s="18"/>
      <c r="D270" s="21"/>
      <c r="E270" s="22" t="str">
        <f aca="false">IFERROR(INDEX(Comptes!$B$4:$B$50,MATCH($D270,Comptes!$A$4:$A$50,0)),"")</f>
        <v/>
      </c>
      <c r="F270" s="18"/>
      <c r="G270" s="21"/>
      <c r="H270" s="23"/>
      <c r="I270" s="23"/>
    </row>
    <row r="271" customFormat="false" ht="15" hidden="false" customHeight="false" outlineLevel="0" collapsed="false">
      <c r="A271" s="19" t="str">
        <f aca="false">IF(OR(H271&lt;&gt;"",I271&lt;&gt;""),ROW()-3,"")</f>
        <v/>
      </c>
      <c r="B271" s="20"/>
      <c r="C271" s="18"/>
      <c r="D271" s="21"/>
      <c r="E271" s="22" t="str">
        <f aca="false">IFERROR(INDEX(Comptes!$B$4:$B$50,MATCH($D271,Comptes!$A$4:$A$50,0)),"")</f>
        <v/>
      </c>
      <c r="F271" s="18"/>
      <c r="G271" s="21"/>
      <c r="H271" s="23"/>
      <c r="I271" s="23"/>
    </row>
    <row r="272" customFormat="false" ht="15" hidden="false" customHeight="false" outlineLevel="0" collapsed="false">
      <c r="A272" s="19" t="str">
        <f aca="false">IF(OR(H272&lt;&gt;"",I272&lt;&gt;""),ROW()-3,"")</f>
        <v/>
      </c>
      <c r="B272" s="20"/>
      <c r="C272" s="18"/>
      <c r="D272" s="21"/>
      <c r="E272" s="22" t="str">
        <f aca="false">IFERROR(INDEX(Comptes!$B$4:$B$50,MATCH($D272,Comptes!$A$4:$A$50,0)),"")</f>
        <v/>
      </c>
      <c r="F272" s="18"/>
      <c r="G272" s="21"/>
      <c r="H272" s="23"/>
      <c r="I272" s="23"/>
    </row>
    <row r="273" customFormat="false" ht="15" hidden="false" customHeight="false" outlineLevel="0" collapsed="false">
      <c r="A273" s="19" t="str">
        <f aca="false">IF(OR(H273&lt;&gt;"",I273&lt;&gt;""),ROW()-3,"")</f>
        <v/>
      </c>
      <c r="B273" s="20"/>
      <c r="C273" s="18"/>
      <c r="D273" s="21"/>
      <c r="E273" s="22" t="str">
        <f aca="false">IFERROR(INDEX(Comptes!$B$4:$B$50,MATCH($D273,Comptes!$A$4:$A$50,0)),"")</f>
        <v/>
      </c>
      <c r="F273" s="18"/>
      <c r="G273" s="21"/>
      <c r="H273" s="23"/>
      <c r="I273" s="23"/>
    </row>
    <row r="274" customFormat="false" ht="15" hidden="false" customHeight="false" outlineLevel="0" collapsed="false">
      <c r="A274" s="19" t="str">
        <f aca="false">IF(OR(H274&lt;&gt;"",I274&lt;&gt;""),ROW()-3,"")</f>
        <v/>
      </c>
      <c r="B274" s="20"/>
      <c r="C274" s="18"/>
      <c r="D274" s="21"/>
      <c r="E274" s="22" t="str">
        <f aca="false">IFERROR(INDEX(Comptes!$B$4:$B$50,MATCH($D274,Comptes!$A$4:$A$50,0)),"")</f>
        <v/>
      </c>
      <c r="F274" s="18"/>
      <c r="G274" s="21"/>
      <c r="H274" s="23"/>
      <c r="I274" s="23"/>
    </row>
    <row r="275" customFormat="false" ht="15" hidden="false" customHeight="false" outlineLevel="0" collapsed="false">
      <c r="A275" s="19" t="str">
        <f aca="false">IF(OR(H275&lt;&gt;"",I275&lt;&gt;""),ROW()-3,"")</f>
        <v/>
      </c>
      <c r="B275" s="20"/>
      <c r="C275" s="18"/>
      <c r="D275" s="21"/>
      <c r="E275" s="22" t="str">
        <f aca="false">IFERROR(INDEX(Comptes!$B$4:$B$50,MATCH($D275,Comptes!$A$4:$A$50,0)),"")</f>
        <v/>
      </c>
      <c r="F275" s="18"/>
      <c r="G275" s="21"/>
      <c r="H275" s="23"/>
      <c r="I275" s="23"/>
    </row>
    <row r="276" customFormat="false" ht="15" hidden="false" customHeight="false" outlineLevel="0" collapsed="false">
      <c r="A276" s="19" t="str">
        <f aca="false">IF(OR(H276&lt;&gt;"",I276&lt;&gt;""),ROW()-3,"")</f>
        <v/>
      </c>
      <c r="B276" s="20"/>
      <c r="C276" s="18"/>
      <c r="D276" s="21"/>
      <c r="E276" s="22" t="str">
        <f aca="false">IFERROR(INDEX(Comptes!$B$4:$B$50,MATCH($D276,Comptes!$A$4:$A$50,0)),"")</f>
        <v/>
      </c>
      <c r="F276" s="18"/>
      <c r="G276" s="21"/>
      <c r="H276" s="23"/>
      <c r="I276" s="23"/>
    </row>
    <row r="277" customFormat="false" ht="15" hidden="false" customHeight="false" outlineLevel="0" collapsed="false">
      <c r="A277" s="19" t="str">
        <f aca="false">IF(OR(H277&lt;&gt;"",I277&lt;&gt;""),ROW()-3,"")</f>
        <v/>
      </c>
      <c r="B277" s="20"/>
      <c r="C277" s="18"/>
      <c r="D277" s="21"/>
      <c r="E277" s="22" t="str">
        <f aca="false">IFERROR(INDEX(Comptes!$B$4:$B$50,MATCH($D277,Comptes!$A$4:$A$50,0)),"")</f>
        <v/>
      </c>
      <c r="F277" s="18"/>
      <c r="G277" s="21"/>
      <c r="H277" s="23"/>
      <c r="I277" s="23"/>
    </row>
    <row r="278" customFormat="false" ht="15" hidden="false" customHeight="false" outlineLevel="0" collapsed="false">
      <c r="A278" s="19" t="str">
        <f aca="false">IF(OR(H278&lt;&gt;"",I278&lt;&gt;""),ROW()-3,"")</f>
        <v/>
      </c>
      <c r="B278" s="20"/>
      <c r="C278" s="18"/>
      <c r="D278" s="21"/>
      <c r="E278" s="22" t="str">
        <f aca="false">IFERROR(INDEX(Comptes!$B$4:$B$50,MATCH($D278,Comptes!$A$4:$A$50,0)),"")</f>
        <v/>
      </c>
      <c r="F278" s="18"/>
      <c r="G278" s="21"/>
      <c r="H278" s="23"/>
      <c r="I278" s="23"/>
    </row>
    <row r="279" customFormat="false" ht="15" hidden="false" customHeight="false" outlineLevel="0" collapsed="false">
      <c r="A279" s="19" t="str">
        <f aca="false">IF(OR(H279&lt;&gt;"",I279&lt;&gt;""),ROW()-3,"")</f>
        <v/>
      </c>
      <c r="B279" s="20"/>
      <c r="C279" s="18"/>
      <c r="D279" s="21"/>
      <c r="E279" s="22" t="str">
        <f aca="false">IFERROR(INDEX(Comptes!$B$4:$B$50,MATCH($D279,Comptes!$A$4:$A$50,0)),"")</f>
        <v/>
      </c>
      <c r="F279" s="18"/>
      <c r="G279" s="21"/>
      <c r="H279" s="23"/>
      <c r="I279" s="23"/>
    </row>
    <row r="280" customFormat="false" ht="15" hidden="false" customHeight="false" outlineLevel="0" collapsed="false">
      <c r="A280" s="19" t="str">
        <f aca="false">IF(OR(H280&lt;&gt;"",I280&lt;&gt;""),ROW()-3,"")</f>
        <v/>
      </c>
      <c r="B280" s="20"/>
      <c r="C280" s="18"/>
      <c r="D280" s="21"/>
      <c r="E280" s="22" t="str">
        <f aca="false">IFERROR(INDEX(Comptes!$B$4:$B$50,MATCH($D280,Comptes!$A$4:$A$50,0)),"")</f>
        <v/>
      </c>
      <c r="F280" s="18"/>
      <c r="G280" s="21"/>
      <c r="H280" s="23"/>
      <c r="I280" s="23"/>
    </row>
    <row r="281" customFormat="false" ht="15" hidden="false" customHeight="false" outlineLevel="0" collapsed="false">
      <c r="A281" s="19" t="str">
        <f aca="false">IF(OR(H281&lt;&gt;"",I281&lt;&gt;""),ROW()-3,"")</f>
        <v/>
      </c>
      <c r="B281" s="20"/>
      <c r="C281" s="18"/>
      <c r="D281" s="21"/>
      <c r="E281" s="22" t="str">
        <f aca="false">IFERROR(INDEX(Comptes!$B$4:$B$50,MATCH($D281,Comptes!$A$4:$A$50,0)),"")</f>
        <v/>
      </c>
      <c r="F281" s="18"/>
      <c r="G281" s="21"/>
      <c r="H281" s="23"/>
      <c r="I281" s="23"/>
    </row>
    <row r="282" customFormat="false" ht="15" hidden="false" customHeight="false" outlineLevel="0" collapsed="false">
      <c r="A282" s="19" t="str">
        <f aca="false">IF(OR(H282&lt;&gt;"",I282&lt;&gt;""),ROW()-3,"")</f>
        <v/>
      </c>
      <c r="B282" s="20"/>
      <c r="C282" s="18"/>
      <c r="D282" s="21"/>
      <c r="E282" s="22" t="str">
        <f aca="false">IFERROR(INDEX(Comptes!$B$4:$B$50,MATCH($D282,Comptes!$A$4:$A$50,0)),"")</f>
        <v/>
      </c>
      <c r="F282" s="18"/>
      <c r="G282" s="21"/>
      <c r="H282" s="23"/>
      <c r="I282" s="23"/>
    </row>
    <row r="283" customFormat="false" ht="15" hidden="false" customHeight="false" outlineLevel="0" collapsed="false">
      <c r="A283" s="19" t="str">
        <f aca="false">IF(OR(H283&lt;&gt;"",I283&lt;&gt;""),ROW()-3,"")</f>
        <v/>
      </c>
      <c r="B283" s="20"/>
      <c r="C283" s="18"/>
      <c r="D283" s="21"/>
      <c r="E283" s="22" t="str">
        <f aca="false">IFERROR(INDEX(Comptes!$B$4:$B$50,MATCH($D283,Comptes!$A$4:$A$50,0)),"")</f>
        <v/>
      </c>
      <c r="F283" s="18"/>
      <c r="G283" s="21"/>
      <c r="H283" s="23"/>
      <c r="I283" s="23"/>
    </row>
    <row r="284" customFormat="false" ht="15" hidden="false" customHeight="false" outlineLevel="0" collapsed="false">
      <c r="A284" s="19" t="str">
        <f aca="false">IF(OR(H284&lt;&gt;"",I284&lt;&gt;""),ROW()-3,"")</f>
        <v/>
      </c>
      <c r="B284" s="20"/>
      <c r="C284" s="18"/>
      <c r="D284" s="21"/>
      <c r="E284" s="22" t="str">
        <f aca="false">IFERROR(INDEX(Comptes!$B$4:$B$50,MATCH($D284,Comptes!$A$4:$A$50,0)),"")</f>
        <v/>
      </c>
      <c r="F284" s="18"/>
      <c r="G284" s="21"/>
      <c r="H284" s="23"/>
      <c r="I284" s="23"/>
    </row>
    <row r="285" customFormat="false" ht="15" hidden="false" customHeight="false" outlineLevel="0" collapsed="false">
      <c r="A285" s="19" t="str">
        <f aca="false">IF(OR(H285&lt;&gt;"",I285&lt;&gt;""),ROW()-3,"")</f>
        <v/>
      </c>
      <c r="B285" s="20"/>
      <c r="C285" s="18"/>
      <c r="D285" s="21"/>
      <c r="E285" s="22" t="str">
        <f aca="false">IFERROR(INDEX(Comptes!$B$4:$B$50,MATCH($D285,Comptes!$A$4:$A$50,0)),"")</f>
        <v/>
      </c>
      <c r="F285" s="18"/>
      <c r="G285" s="21"/>
      <c r="H285" s="23"/>
      <c r="I285" s="23"/>
    </row>
    <row r="286" customFormat="false" ht="15" hidden="false" customHeight="false" outlineLevel="0" collapsed="false">
      <c r="A286" s="19" t="str">
        <f aca="false">IF(OR(H286&lt;&gt;"",I286&lt;&gt;""),ROW()-3,"")</f>
        <v/>
      </c>
      <c r="B286" s="20"/>
      <c r="C286" s="18"/>
      <c r="D286" s="21"/>
      <c r="E286" s="22" t="str">
        <f aca="false">IFERROR(INDEX(Comptes!$B$4:$B$50,MATCH($D286,Comptes!$A$4:$A$50,0)),"")</f>
        <v/>
      </c>
      <c r="F286" s="18"/>
      <c r="G286" s="21"/>
      <c r="H286" s="23"/>
      <c r="I286" s="23"/>
    </row>
    <row r="287" customFormat="false" ht="15" hidden="false" customHeight="false" outlineLevel="0" collapsed="false">
      <c r="A287" s="19" t="str">
        <f aca="false">IF(OR(H287&lt;&gt;"",I287&lt;&gt;""),ROW()-3,"")</f>
        <v/>
      </c>
      <c r="B287" s="20"/>
      <c r="C287" s="18"/>
      <c r="D287" s="21"/>
      <c r="E287" s="22" t="str">
        <f aca="false">IFERROR(INDEX(Comptes!$B$4:$B$50,MATCH($D287,Comptes!$A$4:$A$50,0)),"")</f>
        <v/>
      </c>
      <c r="F287" s="18"/>
      <c r="G287" s="21"/>
      <c r="H287" s="23"/>
      <c r="I287" s="23"/>
    </row>
    <row r="288" customFormat="false" ht="15" hidden="false" customHeight="false" outlineLevel="0" collapsed="false">
      <c r="A288" s="19" t="str">
        <f aca="false">IF(OR(H288&lt;&gt;"",I288&lt;&gt;""),ROW()-3,"")</f>
        <v/>
      </c>
      <c r="B288" s="20"/>
      <c r="C288" s="18"/>
      <c r="D288" s="21"/>
      <c r="E288" s="22" t="str">
        <f aca="false">IFERROR(INDEX(Comptes!$B$4:$B$50,MATCH($D288,Comptes!$A$4:$A$50,0)),"")</f>
        <v/>
      </c>
      <c r="F288" s="18"/>
      <c r="G288" s="21"/>
      <c r="H288" s="23"/>
      <c r="I288" s="23"/>
    </row>
    <row r="289" customFormat="false" ht="15" hidden="false" customHeight="false" outlineLevel="0" collapsed="false">
      <c r="A289" s="19" t="str">
        <f aca="false">IF(OR(H289&lt;&gt;"",I289&lt;&gt;""),ROW()-3,"")</f>
        <v/>
      </c>
      <c r="B289" s="20"/>
      <c r="C289" s="18"/>
      <c r="D289" s="21"/>
      <c r="E289" s="22" t="str">
        <f aca="false">IFERROR(INDEX(Comptes!$B$4:$B$50,MATCH($D289,Comptes!$A$4:$A$50,0)),"")</f>
        <v/>
      </c>
      <c r="F289" s="18"/>
      <c r="G289" s="21"/>
      <c r="H289" s="23"/>
      <c r="I289" s="23"/>
    </row>
    <row r="290" customFormat="false" ht="15" hidden="false" customHeight="false" outlineLevel="0" collapsed="false">
      <c r="A290" s="19" t="str">
        <f aca="false">IF(OR(H290&lt;&gt;"",I290&lt;&gt;""),ROW()-3,"")</f>
        <v/>
      </c>
      <c r="B290" s="20"/>
      <c r="C290" s="18"/>
      <c r="D290" s="21"/>
      <c r="E290" s="22" t="str">
        <f aca="false">IFERROR(INDEX(Comptes!$B$4:$B$50,MATCH($D290,Comptes!$A$4:$A$50,0)),"")</f>
        <v/>
      </c>
      <c r="F290" s="18"/>
      <c r="G290" s="21"/>
      <c r="H290" s="23"/>
      <c r="I290" s="23"/>
    </row>
    <row r="291" customFormat="false" ht="15" hidden="false" customHeight="false" outlineLevel="0" collapsed="false">
      <c r="A291" s="19" t="str">
        <f aca="false">IF(OR(H291&lt;&gt;"",I291&lt;&gt;""),ROW()-3,"")</f>
        <v/>
      </c>
      <c r="B291" s="20"/>
      <c r="C291" s="18"/>
      <c r="D291" s="21"/>
      <c r="E291" s="22" t="str">
        <f aca="false">IFERROR(INDEX(Comptes!$B$4:$B$50,MATCH($D291,Comptes!$A$4:$A$50,0)),"")</f>
        <v/>
      </c>
      <c r="F291" s="18"/>
      <c r="G291" s="21"/>
      <c r="H291" s="23"/>
      <c r="I291" s="23"/>
    </row>
    <row r="292" customFormat="false" ht="15" hidden="false" customHeight="false" outlineLevel="0" collapsed="false">
      <c r="A292" s="19" t="str">
        <f aca="false">IF(OR(H292&lt;&gt;"",I292&lt;&gt;""),ROW()-3,"")</f>
        <v/>
      </c>
      <c r="B292" s="20"/>
      <c r="C292" s="18"/>
      <c r="D292" s="21"/>
      <c r="E292" s="22" t="str">
        <f aca="false">IFERROR(INDEX(Comptes!$B$4:$B$50,MATCH($D292,Comptes!$A$4:$A$50,0)),"")</f>
        <v/>
      </c>
      <c r="F292" s="18"/>
      <c r="G292" s="21"/>
      <c r="H292" s="23"/>
      <c r="I292" s="23"/>
    </row>
    <row r="293" customFormat="false" ht="15" hidden="false" customHeight="false" outlineLevel="0" collapsed="false">
      <c r="A293" s="19" t="str">
        <f aca="false">IF(OR(H293&lt;&gt;"",I293&lt;&gt;""),ROW()-3,"")</f>
        <v/>
      </c>
      <c r="B293" s="20"/>
      <c r="C293" s="18"/>
      <c r="D293" s="21"/>
      <c r="E293" s="22" t="str">
        <f aca="false">IFERROR(INDEX(Comptes!$B$4:$B$50,MATCH($D293,Comptes!$A$4:$A$50,0)),"")</f>
        <v/>
      </c>
      <c r="F293" s="18"/>
      <c r="G293" s="21"/>
      <c r="H293" s="23"/>
      <c r="I293" s="23"/>
    </row>
    <row r="294" customFormat="false" ht="15" hidden="false" customHeight="false" outlineLevel="0" collapsed="false">
      <c r="A294" s="19" t="str">
        <f aca="false">IF(OR(H294&lt;&gt;"",I294&lt;&gt;""),ROW()-3,"")</f>
        <v/>
      </c>
      <c r="B294" s="20"/>
      <c r="C294" s="18"/>
      <c r="D294" s="21"/>
      <c r="E294" s="22" t="str">
        <f aca="false">IFERROR(INDEX(Comptes!$B$4:$B$50,MATCH($D294,Comptes!$A$4:$A$50,0)),"")</f>
        <v/>
      </c>
      <c r="F294" s="18"/>
      <c r="G294" s="21"/>
      <c r="H294" s="23"/>
      <c r="I294" s="23"/>
    </row>
    <row r="295" customFormat="false" ht="15" hidden="false" customHeight="false" outlineLevel="0" collapsed="false">
      <c r="A295" s="19" t="str">
        <f aca="false">IF(OR(H295&lt;&gt;"",I295&lt;&gt;""),ROW()-3,"")</f>
        <v/>
      </c>
      <c r="B295" s="20"/>
      <c r="C295" s="18"/>
      <c r="D295" s="21"/>
      <c r="E295" s="22" t="str">
        <f aca="false">IFERROR(INDEX(Comptes!$B$4:$B$50,MATCH($D295,Comptes!$A$4:$A$50,0)),"")</f>
        <v/>
      </c>
      <c r="F295" s="18"/>
      <c r="G295" s="21"/>
      <c r="H295" s="23"/>
      <c r="I295" s="23"/>
    </row>
    <row r="296" customFormat="false" ht="15" hidden="false" customHeight="false" outlineLevel="0" collapsed="false">
      <c r="A296" s="19" t="str">
        <f aca="false">IF(OR(H296&lt;&gt;"",I296&lt;&gt;""),ROW()-3,"")</f>
        <v/>
      </c>
      <c r="B296" s="20"/>
      <c r="C296" s="18"/>
      <c r="D296" s="21"/>
      <c r="E296" s="22" t="str">
        <f aca="false">IFERROR(INDEX(Comptes!$B$4:$B$50,MATCH($D296,Comptes!$A$4:$A$50,0)),"")</f>
        <v/>
      </c>
      <c r="F296" s="18"/>
      <c r="G296" s="21"/>
      <c r="H296" s="23"/>
      <c r="I296" s="23"/>
    </row>
    <row r="297" customFormat="false" ht="15" hidden="false" customHeight="false" outlineLevel="0" collapsed="false">
      <c r="A297" s="19" t="str">
        <f aca="false">IF(OR(H297&lt;&gt;"",I297&lt;&gt;""),ROW()-3,"")</f>
        <v/>
      </c>
      <c r="B297" s="20"/>
      <c r="C297" s="18"/>
      <c r="D297" s="21"/>
      <c r="E297" s="22" t="str">
        <f aca="false">IFERROR(INDEX(Comptes!$B$4:$B$50,MATCH($D297,Comptes!$A$4:$A$50,0)),"")</f>
        <v/>
      </c>
      <c r="F297" s="18"/>
      <c r="G297" s="21"/>
      <c r="H297" s="23"/>
      <c r="I297" s="23"/>
    </row>
    <row r="298" customFormat="false" ht="15" hidden="false" customHeight="false" outlineLevel="0" collapsed="false">
      <c r="A298" s="19" t="str">
        <f aca="false">IF(OR(H298&lt;&gt;"",I298&lt;&gt;""),ROW()-3,"")</f>
        <v/>
      </c>
      <c r="B298" s="20"/>
      <c r="C298" s="18"/>
      <c r="D298" s="21"/>
      <c r="E298" s="22" t="str">
        <f aca="false">IFERROR(INDEX(Comptes!$B$4:$B$50,MATCH($D298,Comptes!$A$4:$A$50,0)),"")</f>
        <v/>
      </c>
      <c r="F298" s="18"/>
      <c r="G298" s="21"/>
      <c r="H298" s="23"/>
      <c r="I298" s="23"/>
    </row>
    <row r="299" customFormat="false" ht="15" hidden="false" customHeight="false" outlineLevel="0" collapsed="false">
      <c r="A299" s="19" t="str">
        <f aca="false">IF(OR(H299&lt;&gt;"",I299&lt;&gt;""),ROW()-3,"")</f>
        <v/>
      </c>
      <c r="B299" s="20"/>
      <c r="C299" s="18"/>
      <c r="D299" s="21"/>
      <c r="E299" s="22" t="str">
        <f aca="false">IFERROR(INDEX(Comptes!$B$4:$B$50,MATCH($D299,Comptes!$A$4:$A$50,0)),"")</f>
        <v/>
      </c>
      <c r="F299" s="18"/>
      <c r="G299" s="21"/>
      <c r="H299" s="23"/>
      <c r="I299" s="23"/>
    </row>
    <row r="300" customFormat="false" ht="15" hidden="false" customHeight="false" outlineLevel="0" collapsed="false">
      <c r="A300" s="19" t="str">
        <f aca="false">IF(OR(H300&lt;&gt;"",I300&lt;&gt;""),ROW()-3,"")</f>
        <v/>
      </c>
      <c r="B300" s="20"/>
      <c r="C300" s="18"/>
      <c r="D300" s="21"/>
      <c r="E300" s="22" t="str">
        <f aca="false">IFERROR(INDEX(Comptes!$B$4:$B$50,MATCH($D300,Comptes!$A$4:$A$50,0)),"")</f>
        <v/>
      </c>
      <c r="F300" s="18"/>
      <c r="G300" s="21"/>
      <c r="H300" s="23"/>
      <c r="I300" s="23"/>
    </row>
    <row r="301" customFormat="false" ht="15" hidden="false" customHeight="false" outlineLevel="0" collapsed="false">
      <c r="A301" s="19" t="str">
        <f aca="false">IF(OR(H301&lt;&gt;"",I301&lt;&gt;""),ROW()-3,"")</f>
        <v/>
      </c>
      <c r="B301" s="20"/>
      <c r="C301" s="18"/>
      <c r="D301" s="21"/>
      <c r="E301" s="22" t="str">
        <f aca="false">IFERROR(INDEX(Comptes!$B$4:$B$50,MATCH($D301,Comptes!$A$4:$A$50,0)),"")</f>
        <v/>
      </c>
      <c r="F301" s="18"/>
      <c r="G301" s="21"/>
      <c r="H301" s="23"/>
      <c r="I301" s="23"/>
    </row>
    <row r="302" customFormat="false" ht="15" hidden="false" customHeight="false" outlineLevel="0" collapsed="false">
      <c r="A302" s="19" t="str">
        <f aca="false">IF(OR(H302&lt;&gt;"",I302&lt;&gt;""),ROW()-3,"")</f>
        <v/>
      </c>
      <c r="B302" s="20"/>
      <c r="C302" s="18"/>
      <c r="D302" s="21"/>
      <c r="E302" s="22" t="str">
        <f aca="false">IFERROR(INDEX(Comptes!$B$4:$B$50,MATCH($D302,Comptes!$A$4:$A$50,0)),"")</f>
        <v/>
      </c>
      <c r="F302" s="18"/>
      <c r="G302" s="21"/>
      <c r="H302" s="23"/>
      <c r="I302" s="23"/>
    </row>
    <row r="303" customFormat="false" ht="15" hidden="false" customHeight="false" outlineLevel="0" collapsed="false">
      <c r="A303" s="19" t="str">
        <f aca="false">IF(OR(H303&lt;&gt;"",I303&lt;&gt;""),ROW()-3,"")</f>
        <v/>
      </c>
      <c r="B303" s="20"/>
      <c r="C303" s="18"/>
      <c r="D303" s="21"/>
      <c r="E303" s="22" t="str">
        <f aca="false">IFERROR(INDEX(Comptes!$B$4:$B$50,MATCH($D303,Comptes!$A$4:$A$50,0)),"")</f>
        <v/>
      </c>
      <c r="F303" s="18"/>
      <c r="G303" s="21"/>
      <c r="H303" s="23"/>
      <c r="I303" s="23"/>
    </row>
    <row r="304" customFormat="false" ht="15" hidden="false" customHeight="false" outlineLevel="0" collapsed="false">
      <c r="A304" s="19" t="str">
        <f aca="false">IF(OR(H304&lt;&gt;"",I304&lt;&gt;""),ROW()-3,"")</f>
        <v/>
      </c>
      <c r="B304" s="20"/>
      <c r="C304" s="18"/>
      <c r="D304" s="21"/>
      <c r="E304" s="22" t="str">
        <f aca="false">IFERROR(INDEX(Comptes!$B$4:$B$50,MATCH($D304,Comptes!$A$4:$A$50,0)),"")</f>
        <v/>
      </c>
      <c r="F304" s="18"/>
      <c r="G304" s="21"/>
      <c r="H304" s="23"/>
      <c r="I304" s="23"/>
    </row>
    <row r="305" customFormat="false" ht="15" hidden="false" customHeight="false" outlineLevel="0" collapsed="false">
      <c r="A305" s="19" t="str">
        <f aca="false">IF(OR(H305&lt;&gt;"",I305&lt;&gt;""),ROW()-3,"")</f>
        <v/>
      </c>
      <c r="B305" s="20"/>
      <c r="C305" s="18"/>
      <c r="D305" s="21"/>
      <c r="E305" s="22" t="str">
        <f aca="false">IFERROR(INDEX(Comptes!$B$4:$B$50,MATCH($D305,Comptes!$A$4:$A$50,0)),"")</f>
        <v/>
      </c>
      <c r="F305" s="18"/>
      <c r="G305" s="21"/>
      <c r="H305" s="23"/>
      <c r="I305" s="23"/>
    </row>
    <row r="306" customFormat="false" ht="15" hidden="false" customHeight="false" outlineLevel="0" collapsed="false">
      <c r="A306" s="19" t="str">
        <f aca="false">IF(OR(H306&lt;&gt;"",I306&lt;&gt;""),ROW()-3,"")</f>
        <v/>
      </c>
      <c r="B306" s="20"/>
      <c r="C306" s="18"/>
      <c r="D306" s="21"/>
      <c r="E306" s="22" t="str">
        <f aca="false">IFERROR(INDEX(Comptes!$B$4:$B$50,MATCH($D306,Comptes!$A$4:$A$50,0)),"")</f>
        <v/>
      </c>
      <c r="F306" s="18"/>
      <c r="G306" s="21"/>
      <c r="H306" s="23"/>
      <c r="I306" s="23"/>
    </row>
    <row r="307" customFormat="false" ht="15" hidden="false" customHeight="false" outlineLevel="0" collapsed="false">
      <c r="A307" s="19" t="str">
        <f aca="false">IF(OR(H307&lt;&gt;"",I307&lt;&gt;""),ROW()-3,"")</f>
        <v/>
      </c>
      <c r="B307" s="20"/>
      <c r="C307" s="18"/>
      <c r="D307" s="21"/>
      <c r="E307" s="22" t="str">
        <f aca="false">IFERROR(INDEX(Comptes!$B$4:$B$50,MATCH($D307,Comptes!$A$4:$A$50,0)),"")</f>
        <v/>
      </c>
      <c r="F307" s="18"/>
      <c r="G307" s="21"/>
      <c r="H307" s="23"/>
      <c r="I307" s="23"/>
    </row>
    <row r="308" customFormat="false" ht="15" hidden="false" customHeight="false" outlineLevel="0" collapsed="false">
      <c r="A308" s="19" t="str">
        <f aca="false">IF(OR(H308&lt;&gt;"",I308&lt;&gt;""),ROW()-3,"")</f>
        <v/>
      </c>
      <c r="B308" s="20"/>
      <c r="C308" s="18"/>
      <c r="D308" s="21"/>
      <c r="E308" s="22" t="str">
        <f aca="false">IFERROR(INDEX(Comptes!$B$4:$B$50,MATCH($D308,Comptes!$A$4:$A$50,0)),"")</f>
        <v/>
      </c>
      <c r="F308" s="18"/>
      <c r="G308" s="21"/>
      <c r="H308" s="23"/>
      <c r="I308" s="23"/>
    </row>
    <row r="309" customFormat="false" ht="15" hidden="false" customHeight="false" outlineLevel="0" collapsed="false">
      <c r="A309" s="19" t="str">
        <f aca="false">IF(OR(H309&lt;&gt;"",I309&lt;&gt;""),ROW()-3,"")</f>
        <v/>
      </c>
      <c r="B309" s="20"/>
      <c r="C309" s="18"/>
      <c r="D309" s="21"/>
      <c r="E309" s="22" t="str">
        <f aca="false">IFERROR(INDEX(Comptes!$B$4:$B$50,MATCH($D309,Comptes!$A$4:$A$50,0)),"")</f>
        <v/>
      </c>
      <c r="F309" s="18"/>
      <c r="G309" s="21"/>
      <c r="H309" s="23"/>
      <c r="I309" s="23"/>
    </row>
    <row r="310" customFormat="false" ht="15" hidden="false" customHeight="false" outlineLevel="0" collapsed="false">
      <c r="A310" s="19" t="str">
        <f aca="false">IF(OR(H310&lt;&gt;"",I310&lt;&gt;""),ROW()-3,"")</f>
        <v/>
      </c>
      <c r="B310" s="20"/>
      <c r="C310" s="18"/>
      <c r="D310" s="21"/>
      <c r="E310" s="22" t="str">
        <f aca="false">IFERROR(INDEX(Comptes!$B$4:$B$50,MATCH($D310,Comptes!$A$4:$A$50,0)),"")</f>
        <v/>
      </c>
      <c r="F310" s="18"/>
      <c r="G310" s="21"/>
      <c r="H310" s="23"/>
      <c r="I310" s="23"/>
    </row>
    <row r="311" customFormat="false" ht="15" hidden="false" customHeight="false" outlineLevel="0" collapsed="false">
      <c r="A311" s="19" t="str">
        <f aca="false">IF(OR(H311&lt;&gt;"",I311&lt;&gt;""),ROW()-3,"")</f>
        <v/>
      </c>
      <c r="B311" s="20"/>
      <c r="C311" s="18"/>
      <c r="D311" s="21"/>
      <c r="E311" s="22" t="str">
        <f aca="false">IFERROR(INDEX(Comptes!$B$4:$B$50,MATCH($D311,Comptes!$A$4:$A$50,0)),"")</f>
        <v/>
      </c>
      <c r="F311" s="18"/>
      <c r="G311" s="21"/>
      <c r="H311" s="23"/>
      <c r="I311" s="23"/>
    </row>
    <row r="312" customFormat="false" ht="15" hidden="false" customHeight="false" outlineLevel="0" collapsed="false">
      <c r="A312" s="19" t="str">
        <f aca="false">IF(OR(H312&lt;&gt;"",I312&lt;&gt;""),ROW()-3,"")</f>
        <v/>
      </c>
      <c r="B312" s="20"/>
      <c r="C312" s="18"/>
      <c r="D312" s="21"/>
      <c r="E312" s="22" t="str">
        <f aca="false">IFERROR(INDEX(Comptes!$B$4:$B$50,MATCH($D312,Comptes!$A$4:$A$50,0)),"")</f>
        <v/>
      </c>
      <c r="F312" s="18"/>
      <c r="G312" s="21"/>
      <c r="H312" s="23"/>
      <c r="I312" s="23"/>
    </row>
    <row r="313" customFormat="false" ht="15" hidden="false" customHeight="false" outlineLevel="0" collapsed="false">
      <c r="A313" s="19" t="str">
        <f aca="false">IF(OR(H313&lt;&gt;"",I313&lt;&gt;""),ROW()-3,"")</f>
        <v/>
      </c>
      <c r="B313" s="20"/>
      <c r="C313" s="18"/>
      <c r="D313" s="21"/>
      <c r="E313" s="22" t="str">
        <f aca="false">IFERROR(INDEX(Comptes!$B$4:$B$50,MATCH($D313,Comptes!$A$4:$A$50,0)),"")</f>
        <v/>
      </c>
      <c r="F313" s="18"/>
      <c r="G313" s="21"/>
      <c r="H313" s="23"/>
      <c r="I313" s="23"/>
    </row>
    <row r="314" customFormat="false" ht="15" hidden="false" customHeight="false" outlineLevel="0" collapsed="false">
      <c r="A314" s="19" t="str">
        <f aca="false">IF(OR(H314&lt;&gt;"",I314&lt;&gt;""),ROW()-3,"")</f>
        <v/>
      </c>
      <c r="B314" s="20"/>
      <c r="C314" s="18"/>
      <c r="D314" s="21"/>
      <c r="E314" s="22" t="str">
        <f aca="false">IFERROR(INDEX(Comptes!$B$4:$B$50,MATCH($D314,Comptes!$A$4:$A$50,0)),"")</f>
        <v/>
      </c>
      <c r="F314" s="18"/>
      <c r="G314" s="21"/>
      <c r="H314" s="23"/>
      <c r="I314" s="23"/>
    </row>
    <row r="315" customFormat="false" ht="15" hidden="false" customHeight="false" outlineLevel="0" collapsed="false">
      <c r="A315" s="19" t="str">
        <f aca="false">IF(OR(H315&lt;&gt;"",I315&lt;&gt;""),ROW()-3,"")</f>
        <v/>
      </c>
      <c r="B315" s="20"/>
      <c r="C315" s="18"/>
      <c r="D315" s="21"/>
      <c r="E315" s="22" t="str">
        <f aca="false">IFERROR(INDEX(Comptes!$B$4:$B$50,MATCH($D315,Comptes!$A$4:$A$50,0)),"")</f>
        <v/>
      </c>
      <c r="F315" s="18"/>
      <c r="G315" s="21"/>
      <c r="H315" s="23"/>
      <c r="I315" s="23"/>
    </row>
    <row r="316" customFormat="false" ht="15" hidden="false" customHeight="false" outlineLevel="0" collapsed="false">
      <c r="A316" s="19" t="str">
        <f aca="false">IF(OR(H316&lt;&gt;"",I316&lt;&gt;""),ROW()-3,"")</f>
        <v/>
      </c>
      <c r="B316" s="20"/>
      <c r="C316" s="18"/>
      <c r="D316" s="21"/>
      <c r="E316" s="22" t="str">
        <f aca="false">IFERROR(INDEX(Comptes!$B$4:$B$50,MATCH($D316,Comptes!$A$4:$A$50,0)),"")</f>
        <v/>
      </c>
      <c r="F316" s="18"/>
      <c r="G316" s="21"/>
      <c r="H316" s="23"/>
      <c r="I316" s="23"/>
    </row>
    <row r="317" customFormat="false" ht="15" hidden="false" customHeight="false" outlineLevel="0" collapsed="false">
      <c r="A317" s="19" t="str">
        <f aca="false">IF(OR(H317&lt;&gt;"",I317&lt;&gt;""),ROW()-3,"")</f>
        <v/>
      </c>
      <c r="B317" s="20"/>
      <c r="C317" s="18"/>
      <c r="D317" s="21"/>
      <c r="E317" s="22" t="str">
        <f aca="false">IFERROR(INDEX(Comptes!$B$4:$B$50,MATCH($D317,Comptes!$A$4:$A$50,0)),"")</f>
        <v/>
      </c>
      <c r="F317" s="18"/>
      <c r="G317" s="21"/>
      <c r="H317" s="23"/>
      <c r="I317" s="23"/>
    </row>
    <row r="318" customFormat="false" ht="15" hidden="false" customHeight="false" outlineLevel="0" collapsed="false">
      <c r="A318" s="19" t="str">
        <f aca="false">IF(OR(H318&lt;&gt;"",I318&lt;&gt;""),ROW()-3,"")</f>
        <v/>
      </c>
      <c r="B318" s="20"/>
      <c r="C318" s="18"/>
      <c r="D318" s="21"/>
      <c r="E318" s="22" t="str">
        <f aca="false">IFERROR(INDEX(Comptes!$B$4:$B$50,MATCH($D318,Comptes!$A$4:$A$50,0)),"")</f>
        <v/>
      </c>
      <c r="F318" s="18"/>
      <c r="G318" s="21"/>
      <c r="H318" s="23"/>
      <c r="I318" s="23"/>
    </row>
    <row r="319" customFormat="false" ht="15" hidden="false" customHeight="false" outlineLevel="0" collapsed="false">
      <c r="A319" s="19" t="str">
        <f aca="false">IF(OR(H319&lt;&gt;"",I319&lt;&gt;""),ROW()-3,"")</f>
        <v/>
      </c>
      <c r="B319" s="20"/>
      <c r="C319" s="18"/>
      <c r="D319" s="21"/>
      <c r="E319" s="22" t="str">
        <f aca="false">IFERROR(INDEX(Comptes!$B$4:$B$50,MATCH($D319,Comptes!$A$4:$A$50,0)),"")</f>
        <v/>
      </c>
      <c r="F319" s="18"/>
      <c r="G319" s="21"/>
      <c r="H319" s="23"/>
      <c r="I319" s="23"/>
    </row>
    <row r="320" customFormat="false" ht="15" hidden="false" customHeight="false" outlineLevel="0" collapsed="false">
      <c r="A320" s="19" t="str">
        <f aca="false">IF(OR(H320&lt;&gt;"",I320&lt;&gt;""),ROW()-3,"")</f>
        <v/>
      </c>
      <c r="B320" s="20"/>
      <c r="C320" s="18"/>
      <c r="D320" s="21"/>
      <c r="E320" s="22" t="str">
        <f aca="false">IFERROR(INDEX(Comptes!$B$4:$B$50,MATCH($D320,Comptes!$A$4:$A$50,0)),"")</f>
        <v/>
      </c>
      <c r="F320" s="18"/>
      <c r="G320" s="21"/>
      <c r="H320" s="23"/>
      <c r="I320" s="23"/>
    </row>
    <row r="321" customFormat="false" ht="15" hidden="false" customHeight="false" outlineLevel="0" collapsed="false">
      <c r="A321" s="19" t="str">
        <f aca="false">IF(OR(H321&lt;&gt;"",I321&lt;&gt;""),ROW()-3,"")</f>
        <v/>
      </c>
      <c r="B321" s="20"/>
      <c r="C321" s="18"/>
      <c r="D321" s="21"/>
      <c r="E321" s="22" t="str">
        <f aca="false">IFERROR(INDEX(Comptes!$B$4:$B$50,MATCH($D321,Comptes!$A$4:$A$50,0)),"")</f>
        <v/>
      </c>
      <c r="F321" s="18"/>
      <c r="G321" s="21"/>
      <c r="H321" s="23"/>
      <c r="I321" s="23"/>
    </row>
    <row r="322" customFormat="false" ht="15" hidden="false" customHeight="false" outlineLevel="0" collapsed="false">
      <c r="A322" s="19" t="str">
        <f aca="false">IF(OR(H322&lt;&gt;"",I322&lt;&gt;""),ROW()-3,"")</f>
        <v/>
      </c>
      <c r="B322" s="20"/>
      <c r="C322" s="18"/>
      <c r="D322" s="21"/>
      <c r="E322" s="22" t="str">
        <f aca="false">IFERROR(INDEX(Comptes!$B$4:$B$50,MATCH($D322,Comptes!$A$4:$A$50,0)),"")</f>
        <v/>
      </c>
      <c r="F322" s="18"/>
      <c r="G322" s="21"/>
      <c r="H322" s="23"/>
      <c r="I322" s="23"/>
    </row>
    <row r="323" customFormat="false" ht="15" hidden="false" customHeight="false" outlineLevel="0" collapsed="false">
      <c r="A323" s="19" t="str">
        <f aca="false">IF(OR(H323&lt;&gt;"",I323&lt;&gt;""),ROW()-3,"")</f>
        <v/>
      </c>
      <c r="B323" s="20"/>
      <c r="C323" s="18"/>
      <c r="D323" s="21"/>
      <c r="E323" s="22" t="str">
        <f aca="false">IFERROR(INDEX(Comptes!$B$4:$B$50,MATCH($D323,Comptes!$A$4:$A$50,0)),"")</f>
        <v/>
      </c>
      <c r="F323" s="18"/>
      <c r="G323" s="21"/>
      <c r="H323" s="23"/>
      <c r="I323" s="23"/>
    </row>
    <row r="324" customFormat="false" ht="15" hidden="false" customHeight="false" outlineLevel="0" collapsed="false">
      <c r="A324" s="19" t="str">
        <f aca="false">IF(OR(H324&lt;&gt;"",I324&lt;&gt;""),ROW()-3,"")</f>
        <v/>
      </c>
      <c r="B324" s="20"/>
      <c r="C324" s="18"/>
      <c r="D324" s="21"/>
      <c r="E324" s="22" t="str">
        <f aca="false">IFERROR(INDEX(Comptes!$B$4:$B$50,MATCH($D324,Comptes!$A$4:$A$50,0)),"")</f>
        <v/>
      </c>
      <c r="F324" s="18"/>
      <c r="G324" s="21"/>
      <c r="H324" s="23"/>
      <c r="I324" s="23"/>
    </row>
    <row r="325" customFormat="false" ht="15" hidden="false" customHeight="false" outlineLevel="0" collapsed="false">
      <c r="A325" s="19" t="str">
        <f aca="false">IF(OR(H325&lt;&gt;"",I325&lt;&gt;""),ROW()-3,"")</f>
        <v/>
      </c>
      <c r="B325" s="20"/>
      <c r="C325" s="18"/>
      <c r="D325" s="21"/>
      <c r="E325" s="22" t="str">
        <f aca="false">IFERROR(INDEX(Comptes!$B$4:$B$50,MATCH($D325,Comptes!$A$4:$A$50,0)),"")</f>
        <v/>
      </c>
      <c r="F325" s="18"/>
      <c r="G325" s="21"/>
      <c r="H325" s="23"/>
      <c r="I325" s="23"/>
    </row>
    <row r="326" customFormat="false" ht="15" hidden="false" customHeight="false" outlineLevel="0" collapsed="false">
      <c r="A326" s="19" t="str">
        <f aca="false">IF(OR(H326&lt;&gt;"",I326&lt;&gt;""),ROW()-3,"")</f>
        <v/>
      </c>
      <c r="B326" s="20"/>
      <c r="C326" s="18"/>
      <c r="D326" s="21"/>
      <c r="E326" s="22" t="str">
        <f aca="false">IFERROR(INDEX(Comptes!$B$4:$B$50,MATCH($D326,Comptes!$A$4:$A$50,0)),"")</f>
        <v/>
      </c>
      <c r="F326" s="18"/>
      <c r="G326" s="21"/>
      <c r="H326" s="23"/>
      <c r="I326" s="23"/>
    </row>
    <row r="327" customFormat="false" ht="15" hidden="false" customHeight="false" outlineLevel="0" collapsed="false">
      <c r="A327" s="19" t="str">
        <f aca="false">IF(OR(H327&lt;&gt;"",I327&lt;&gt;""),ROW()-3,"")</f>
        <v/>
      </c>
      <c r="B327" s="20"/>
      <c r="C327" s="18"/>
      <c r="D327" s="21"/>
      <c r="E327" s="22" t="str">
        <f aca="false">IFERROR(INDEX(Comptes!$B$4:$B$50,MATCH($D327,Comptes!$A$4:$A$50,0)),"")</f>
        <v/>
      </c>
      <c r="F327" s="18"/>
      <c r="G327" s="21"/>
      <c r="H327" s="23"/>
      <c r="I327" s="23"/>
    </row>
    <row r="328" customFormat="false" ht="15" hidden="false" customHeight="false" outlineLevel="0" collapsed="false">
      <c r="A328" s="19" t="str">
        <f aca="false">IF(OR(H328&lt;&gt;"",I328&lt;&gt;""),ROW()-3,"")</f>
        <v/>
      </c>
      <c r="B328" s="20"/>
      <c r="C328" s="18"/>
      <c r="D328" s="21"/>
      <c r="E328" s="22" t="str">
        <f aca="false">IFERROR(INDEX(Comptes!$B$4:$B$50,MATCH($D328,Comptes!$A$4:$A$50,0)),"")</f>
        <v/>
      </c>
      <c r="F328" s="18"/>
      <c r="G328" s="21"/>
      <c r="H328" s="23"/>
      <c r="I328" s="23"/>
    </row>
    <row r="329" customFormat="false" ht="15" hidden="false" customHeight="false" outlineLevel="0" collapsed="false">
      <c r="A329" s="19" t="str">
        <f aca="false">IF(OR(H329&lt;&gt;"",I329&lt;&gt;""),ROW()-3,"")</f>
        <v/>
      </c>
      <c r="B329" s="20"/>
      <c r="C329" s="18"/>
      <c r="D329" s="21"/>
      <c r="E329" s="22" t="str">
        <f aca="false">IFERROR(INDEX(Comptes!$B$4:$B$50,MATCH($D329,Comptes!$A$4:$A$50,0)),"")</f>
        <v/>
      </c>
      <c r="F329" s="18"/>
      <c r="G329" s="21"/>
      <c r="H329" s="23"/>
      <c r="I329" s="23"/>
    </row>
    <row r="330" customFormat="false" ht="15" hidden="false" customHeight="false" outlineLevel="0" collapsed="false">
      <c r="A330" s="19" t="str">
        <f aca="false">IF(OR(H330&lt;&gt;"",I330&lt;&gt;""),ROW()-3,"")</f>
        <v/>
      </c>
      <c r="B330" s="20"/>
      <c r="C330" s="18"/>
      <c r="D330" s="21"/>
      <c r="E330" s="22" t="str">
        <f aca="false">IFERROR(INDEX(Comptes!$B$4:$B$50,MATCH($D330,Comptes!$A$4:$A$50,0)),"")</f>
        <v/>
      </c>
      <c r="F330" s="18"/>
      <c r="G330" s="21"/>
      <c r="H330" s="23"/>
      <c r="I330" s="23"/>
    </row>
    <row r="331" customFormat="false" ht="15" hidden="false" customHeight="false" outlineLevel="0" collapsed="false">
      <c r="A331" s="19" t="str">
        <f aca="false">IF(OR(H331&lt;&gt;"",I331&lt;&gt;""),ROW()-3,"")</f>
        <v/>
      </c>
      <c r="B331" s="20"/>
      <c r="C331" s="18"/>
      <c r="D331" s="21"/>
      <c r="E331" s="22" t="str">
        <f aca="false">IFERROR(INDEX(Comptes!$B$4:$B$50,MATCH($D331,Comptes!$A$4:$A$50,0)),"")</f>
        <v/>
      </c>
      <c r="F331" s="18"/>
      <c r="G331" s="21"/>
      <c r="H331" s="23"/>
      <c r="I331" s="23"/>
    </row>
    <row r="332" customFormat="false" ht="15" hidden="false" customHeight="false" outlineLevel="0" collapsed="false">
      <c r="A332" s="19" t="str">
        <f aca="false">IF(OR(H332&lt;&gt;"",I332&lt;&gt;""),ROW()-3,"")</f>
        <v/>
      </c>
      <c r="B332" s="20"/>
      <c r="C332" s="18"/>
      <c r="D332" s="21"/>
      <c r="E332" s="22" t="str">
        <f aca="false">IFERROR(INDEX(Comptes!$B$4:$B$50,MATCH($D332,Comptes!$A$4:$A$50,0)),"")</f>
        <v/>
      </c>
      <c r="F332" s="18"/>
      <c r="G332" s="21"/>
      <c r="H332" s="23"/>
      <c r="I332" s="23"/>
    </row>
    <row r="333" customFormat="false" ht="15" hidden="false" customHeight="false" outlineLevel="0" collapsed="false">
      <c r="A333" s="19" t="str">
        <f aca="false">IF(OR(H333&lt;&gt;"",I333&lt;&gt;""),ROW()-3,"")</f>
        <v/>
      </c>
      <c r="B333" s="20"/>
      <c r="C333" s="18"/>
      <c r="D333" s="21"/>
      <c r="E333" s="22" t="str">
        <f aca="false">IFERROR(INDEX(Comptes!$B$4:$B$50,MATCH($D333,Comptes!$A$4:$A$50,0)),"")</f>
        <v/>
      </c>
      <c r="F333" s="18"/>
      <c r="G333" s="21"/>
      <c r="H333" s="23"/>
      <c r="I333" s="23"/>
    </row>
    <row r="334" customFormat="false" ht="15" hidden="false" customHeight="false" outlineLevel="0" collapsed="false">
      <c r="A334" s="19" t="str">
        <f aca="false">IF(OR(H334&lt;&gt;"",I334&lt;&gt;""),ROW()-3,"")</f>
        <v/>
      </c>
      <c r="B334" s="20"/>
      <c r="C334" s="18"/>
      <c r="D334" s="21"/>
      <c r="E334" s="22" t="str">
        <f aca="false">IFERROR(INDEX(Comptes!$B$4:$B$50,MATCH($D334,Comptes!$A$4:$A$50,0)),"")</f>
        <v/>
      </c>
      <c r="F334" s="18"/>
      <c r="G334" s="21"/>
      <c r="H334" s="23"/>
      <c r="I334" s="23"/>
    </row>
    <row r="335" customFormat="false" ht="15" hidden="false" customHeight="false" outlineLevel="0" collapsed="false">
      <c r="A335" s="19" t="str">
        <f aca="false">IF(OR(H335&lt;&gt;"",I335&lt;&gt;""),ROW()-3,"")</f>
        <v/>
      </c>
      <c r="B335" s="20"/>
      <c r="C335" s="18"/>
      <c r="D335" s="21"/>
      <c r="E335" s="22" t="str">
        <f aca="false">IFERROR(INDEX(Comptes!$B$4:$B$50,MATCH($D335,Comptes!$A$4:$A$50,0)),"")</f>
        <v/>
      </c>
      <c r="F335" s="18"/>
      <c r="G335" s="21"/>
      <c r="H335" s="23"/>
      <c r="I335" s="23"/>
    </row>
    <row r="336" customFormat="false" ht="15" hidden="false" customHeight="false" outlineLevel="0" collapsed="false">
      <c r="A336" s="19" t="str">
        <f aca="false">IF(OR(H336&lt;&gt;"",I336&lt;&gt;""),ROW()-3,"")</f>
        <v/>
      </c>
      <c r="B336" s="20"/>
      <c r="C336" s="18"/>
      <c r="D336" s="21"/>
      <c r="E336" s="22" t="str">
        <f aca="false">IFERROR(INDEX(Comptes!$B$4:$B$50,MATCH($D336,Comptes!$A$4:$A$50,0)),"")</f>
        <v/>
      </c>
      <c r="F336" s="18"/>
      <c r="G336" s="21"/>
      <c r="H336" s="23"/>
      <c r="I336" s="23"/>
    </row>
    <row r="337" customFormat="false" ht="15" hidden="false" customHeight="false" outlineLevel="0" collapsed="false">
      <c r="A337" s="19" t="str">
        <f aca="false">IF(OR(H337&lt;&gt;"",I337&lt;&gt;""),ROW()-3,"")</f>
        <v/>
      </c>
      <c r="B337" s="20"/>
      <c r="C337" s="18"/>
      <c r="D337" s="21"/>
      <c r="E337" s="22" t="str">
        <f aca="false">IFERROR(INDEX(Comptes!$B$4:$B$50,MATCH($D337,Comptes!$A$4:$A$50,0)),"")</f>
        <v/>
      </c>
      <c r="F337" s="18"/>
      <c r="G337" s="21"/>
      <c r="H337" s="23"/>
      <c r="I337" s="23"/>
    </row>
    <row r="338" customFormat="false" ht="15" hidden="false" customHeight="false" outlineLevel="0" collapsed="false">
      <c r="A338" s="19" t="str">
        <f aca="false">IF(OR(H338&lt;&gt;"",I338&lt;&gt;""),ROW()-3,"")</f>
        <v/>
      </c>
      <c r="B338" s="20"/>
      <c r="C338" s="18"/>
      <c r="D338" s="21"/>
      <c r="E338" s="22" t="str">
        <f aca="false">IFERROR(INDEX(Comptes!$B$4:$B$50,MATCH($D338,Comptes!$A$4:$A$50,0)),"")</f>
        <v/>
      </c>
      <c r="F338" s="18"/>
      <c r="G338" s="21"/>
      <c r="H338" s="23"/>
      <c r="I338" s="23"/>
    </row>
    <row r="339" customFormat="false" ht="15" hidden="false" customHeight="false" outlineLevel="0" collapsed="false">
      <c r="A339" s="19" t="str">
        <f aca="false">IF(OR(H339&lt;&gt;"",I339&lt;&gt;""),ROW()-3,"")</f>
        <v/>
      </c>
      <c r="B339" s="20"/>
      <c r="C339" s="18"/>
      <c r="D339" s="21"/>
      <c r="E339" s="22" t="str">
        <f aca="false">IFERROR(INDEX(Comptes!$B$4:$B$50,MATCH($D339,Comptes!$A$4:$A$50,0)),"")</f>
        <v/>
      </c>
      <c r="F339" s="18"/>
      <c r="G339" s="21"/>
      <c r="H339" s="23"/>
      <c r="I339" s="23"/>
    </row>
    <row r="340" customFormat="false" ht="15" hidden="false" customHeight="false" outlineLevel="0" collapsed="false">
      <c r="A340" s="19" t="str">
        <f aca="false">IF(OR(H340&lt;&gt;"",I340&lt;&gt;""),ROW()-3,"")</f>
        <v/>
      </c>
      <c r="B340" s="20"/>
      <c r="C340" s="18"/>
      <c r="D340" s="21"/>
      <c r="E340" s="22" t="str">
        <f aca="false">IFERROR(INDEX(Comptes!$B$4:$B$50,MATCH($D340,Comptes!$A$4:$A$50,0)),"")</f>
        <v/>
      </c>
      <c r="F340" s="18"/>
      <c r="G340" s="21"/>
      <c r="H340" s="23"/>
      <c r="I340" s="23"/>
    </row>
    <row r="341" customFormat="false" ht="15" hidden="false" customHeight="false" outlineLevel="0" collapsed="false">
      <c r="A341" s="19" t="str">
        <f aca="false">IF(OR(H341&lt;&gt;"",I341&lt;&gt;""),ROW()-3,"")</f>
        <v/>
      </c>
      <c r="B341" s="20"/>
      <c r="C341" s="18"/>
      <c r="D341" s="21"/>
      <c r="E341" s="22" t="str">
        <f aca="false">IFERROR(INDEX(Comptes!$B$4:$B$50,MATCH($D341,Comptes!$A$4:$A$50,0)),"")</f>
        <v/>
      </c>
      <c r="F341" s="18"/>
      <c r="G341" s="21"/>
      <c r="H341" s="23"/>
      <c r="I341" s="23"/>
    </row>
    <row r="342" customFormat="false" ht="15" hidden="false" customHeight="false" outlineLevel="0" collapsed="false">
      <c r="A342" s="19" t="str">
        <f aca="false">IF(OR(H342&lt;&gt;"",I342&lt;&gt;""),ROW()-3,"")</f>
        <v/>
      </c>
      <c r="B342" s="20"/>
      <c r="C342" s="18"/>
      <c r="D342" s="21"/>
      <c r="E342" s="22" t="str">
        <f aca="false">IFERROR(INDEX(Comptes!$B$4:$B$50,MATCH($D342,Comptes!$A$4:$A$50,0)),"")</f>
        <v/>
      </c>
      <c r="F342" s="18"/>
      <c r="G342" s="21"/>
      <c r="H342" s="23"/>
      <c r="I342" s="23"/>
    </row>
    <row r="343" customFormat="false" ht="15" hidden="false" customHeight="false" outlineLevel="0" collapsed="false">
      <c r="A343" s="19" t="str">
        <f aca="false">IF(OR(H343&lt;&gt;"",I343&lt;&gt;""),ROW()-3,"")</f>
        <v/>
      </c>
      <c r="B343" s="20"/>
      <c r="C343" s="18"/>
      <c r="D343" s="21"/>
      <c r="E343" s="22" t="str">
        <f aca="false">IFERROR(INDEX(Comptes!$B$4:$B$50,MATCH($D343,Comptes!$A$4:$A$50,0)),"")</f>
        <v/>
      </c>
      <c r="F343" s="18"/>
      <c r="G343" s="21"/>
      <c r="H343" s="23"/>
      <c r="I343" s="23"/>
    </row>
    <row r="344" customFormat="false" ht="15" hidden="false" customHeight="false" outlineLevel="0" collapsed="false">
      <c r="A344" s="19" t="str">
        <f aca="false">IF(OR(H344&lt;&gt;"",I344&lt;&gt;""),ROW()-3,"")</f>
        <v/>
      </c>
      <c r="B344" s="20"/>
      <c r="C344" s="18"/>
      <c r="D344" s="21"/>
      <c r="E344" s="22" t="str">
        <f aca="false">IFERROR(INDEX(Comptes!$B$4:$B$50,MATCH($D344,Comptes!$A$4:$A$50,0)),"")</f>
        <v/>
      </c>
      <c r="F344" s="18"/>
      <c r="G344" s="21"/>
      <c r="H344" s="23"/>
      <c r="I344" s="23"/>
    </row>
    <row r="345" customFormat="false" ht="15" hidden="false" customHeight="false" outlineLevel="0" collapsed="false">
      <c r="A345" s="19" t="str">
        <f aca="false">IF(OR(H345&lt;&gt;"",I345&lt;&gt;""),ROW()-3,"")</f>
        <v/>
      </c>
      <c r="B345" s="20"/>
      <c r="C345" s="18"/>
      <c r="D345" s="21"/>
      <c r="E345" s="22" t="str">
        <f aca="false">IFERROR(INDEX(Comptes!$B$4:$B$50,MATCH($D345,Comptes!$A$4:$A$50,0)),"")</f>
        <v/>
      </c>
      <c r="F345" s="18"/>
      <c r="G345" s="21"/>
      <c r="H345" s="23"/>
      <c r="I345" s="23"/>
    </row>
    <row r="346" customFormat="false" ht="15" hidden="false" customHeight="false" outlineLevel="0" collapsed="false">
      <c r="A346" s="19" t="str">
        <f aca="false">IF(OR(H346&lt;&gt;"",I346&lt;&gt;""),ROW()-3,"")</f>
        <v/>
      </c>
      <c r="B346" s="20"/>
      <c r="C346" s="18"/>
      <c r="D346" s="21"/>
      <c r="E346" s="22" t="str">
        <f aca="false">IFERROR(INDEX(Comptes!$B$4:$B$50,MATCH($D346,Comptes!$A$4:$A$50,0)),"")</f>
        <v/>
      </c>
      <c r="F346" s="18"/>
      <c r="G346" s="21"/>
      <c r="H346" s="23"/>
      <c r="I346" s="23"/>
    </row>
    <row r="347" customFormat="false" ht="15" hidden="false" customHeight="false" outlineLevel="0" collapsed="false">
      <c r="A347" s="19" t="str">
        <f aca="false">IF(OR(H347&lt;&gt;"",I347&lt;&gt;""),ROW()-3,"")</f>
        <v/>
      </c>
      <c r="B347" s="20"/>
      <c r="C347" s="18"/>
      <c r="D347" s="21"/>
      <c r="E347" s="22" t="str">
        <f aca="false">IFERROR(INDEX(Comptes!$B$4:$B$50,MATCH($D347,Comptes!$A$4:$A$50,0)),"")</f>
        <v/>
      </c>
      <c r="F347" s="18"/>
      <c r="G347" s="21"/>
      <c r="H347" s="23"/>
      <c r="I347" s="23"/>
    </row>
    <row r="348" customFormat="false" ht="15" hidden="false" customHeight="false" outlineLevel="0" collapsed="false">
      <c r="A348" s="19" t="str">
        <f aca="false">IF(OR(H348&lt;&gt;"",I348&lt;&gt;""),ROW()-3,"")</f>
        <v/>
      </c>
      <c r="B348" s="20"/>
      <c r="C348" s="18"/>
      <c r="D348" s="21"/>
      <c r="E348" s="22" t="str">
        <f aca="false">IFERROR(INDEX(Comptes!$B$4:$B$50,MATCH($D348,Comptes!$A$4:$A$50,0)),"")</f>
        <v/>
      </c>
      <c r="F348" s="18"/>
      <c r="G348" s="21"/>
      <c r="H348" s="23"/>
      <c r="I348" s="23"/>
    </row>
    <row r="349" customFormat="false" ht="15" hidden="false" customHeight="false" outlineLevel="0" collapsed="false">
      <c r="A349" s="19" t="str">
        <f aca="false">IF(OR(H349&lt;&gt;"",I349&lt;&gt;""),ROW()-3,"")</f>
        <v/>
      </c>
      <c r="B349" s="20"/>
      <c r="C349" s="18"/>
      <c r="D349" s="21"/>
      <c r="E349" s="22" t="str">
        <f aca="false">IFERROR(INDEX(Comptes!$B$4:$B$50,MATCH($D349,Comptes!$A$4:$A$50,0)),"")</f>
        <v/>
      </c>
      <c r="F349" s="18"/>
      <c r="G349" s="21"/>
      <c r="H349" s="23"/>
      <c r="I349" s="23"/>
    </row>
    <row r="350" customFormat="false" ht="15" hidden="false" customHeight="false" outlineLevel="0" collapsed="false">
      <c r="A350" s="19" t="str">
        <f aca="false">IF(OR(H350&lt;&gt;"",I350&lt;&gt;""),ROW()-3,"")</f>
        <v/>
      </c>
      <c r="B350" s="20"/>
      <c r="C350" s="18"/>
      <c r="D350" s="21"/>
      <c r="E350" s="22" t="str">
        <f aca="false">IFERROR(INDEX(Comptes!$B$4:$B$50,MATCH($D350,Comptes!$A$4:$A$50,0)),"")</f>
        <v/>
      </c>
      <c r="F350" s="18"/>
      <c r="G350" s="21"/>
      <c r="H350" s="23"/>
      <c r="I350" s="23"/>
    </row>
    <row r="351" customFormat="false" ht="15" hidden="false" customHeight="false" outlineLevel="0" collapsed="false">
      <c r="A351" s="19" t="str">
        <f aca="false">IF(OR(H351&lt;&gt;"",I351&lt;&gt;""),ROW()-3,"")</f>
        <v/>
      </c>
      <c r="B351" s="20"/>
      <c r="C351" s="18"/>
      <c r="D351" s="21"/>
      <c r="E351" s="22" t="str">
        <f aca="false">IFERROR(INDEX(Comptes!$B$4:$B$50,MATCH($D351,Comptes!$A$4:$A$50,0)),"")</f>
        <v/>
      </c>
      <c r="F351" s="18"/>
      <c r="G351" s="21"/>
      <c r="H351" s="23"/>
      <c r="I351" s="23"/>
    </row>
    <row r="352" customFormat="false" ht="15" hidden="false" customHeight="false" outlineLevel="0" collapsed="false">
      <c r="A352" s="19" t="str">
        <f aca="false">IF(OR(H352&lt;&gt;"",I352&lt;&gt;""),ROW()-3,"")</f>
        <v/>
      </c>
      <c r="B352" s="20"/>
      <c r="C352" s="18"/>
      <c r="D352" s="21"/>
      <c r="E352" s="22" t="str">
        <f aca="false">IFERROR(INDEX(Comptes!$B$4:$B$50,MATCH($D352,Comptes!$A$4:$A$50,0)),"")</f>
        <v/>
      </c>
      <c r="F352" s="18"/>
      <c r="G352" s="21"/>
      <c r="H352" s="23"/>
      <c r="I352" s="23"/>
    </row>
    <row r="353" customFormat="false" ht="15" hidden="false" customHeight="false" outlineLevel="0" collapsed="false">
      <c r="A353" s="19" t="str">
        <f aca="false">IF(OR(H353&lt;&gt;"",I353&lt;&gt;""),ROW()-3,"")</f>
        <v/>
      </c>
      <c r="B353" s="20"/>
      <c r="C353" s="18"/>
      <c r="D353" s="21"/>
      <c r="E353" s="22" t="str">
        <f aca="false">IFERROR(INDEX(Comptes!$B$4:$B$50,MATCH($D353,Comptes!$A$4:$A$50,0)),"")</f>
        <v/>
      </c>
      <c r="F353" s="18"/>
      <c r="G353" s="21"/>
      <c r="H353" s="23"/>
      <c r="I353" s="23"/>
    </row>
    <row r="354" customFormat="false" ht="15" hidden="false" customHeight="false" outlineLevel="0" collapsed="false">
      <c r="A354" s="19" t="str">
        <f aca="false">IF(OR(H354&lt;&gt;"",I354&lt;&gt;""),ROW()-3,"")</f>
        <v/>
      </c>
      <c r="B354" s="20"/>
      <c r="C354" s="18"/>
      <c r="D354" s="21"/>
      <c r="E354" s="22" t="str">
        <f aca="false">IFERROR(INDEX(Comptes!$B$4:$B$50,MATCH($D354,Comptes!$A$4:$A$50,0)),"")</f>
        <v/>
      </c>
      <c r="F354" s="18"/>
      <c r="G354" s="21"/>
      <c r="H354" s="23"/>
      <c r="I354" s="23"/>
    </row>
    <row r="355" customFormat="false" ht="15" hidden="false" customHeight="false" outlineLevel="0" collapsed="false">
      <c r="A355" s="19" t="str">
        <f aca="false">IF(OR(H355&lt;&gt;"",I355&lt;&gt;""),ROW()-3,"")</f>
        <v/>
      </c>
      <c r="B355" s="20"/>
      <c r="C355" s="18"/>
      <c r="D355" s="21"/>
      <c r="E355" s="22" t="str">
        <f aca="false">IFERROR(INDEX(Comptes!$B$4:$B$50,MATCH($D355,Comptes!$A$4:$A$50,0)),"")</f>
        <v/>
      </c>
      <c r="F355" s="18"/>
      <c r="G355" s="21"/>
      <c r="H355" s="23"/>
      <c r="I355" s="23"/>
    </row>
    <row r="356" customFormat="false" ht="15" hidden="false" customHeight="false" outlineLevel="0" collapsed="false">
      <c r="A356" s="19" t="str">
        <f aca="false">IF(OR(H356&lt;&gt;"",I356&lt;&gt;""),ROW()-3,"")</f>
        <v/>
      </c>
      <c r="B356" s="20"/>
      <c r="C356" s="18"/>
      <c r="D356" s="21"/>
      <c r="E356" s="22" t="str">
        <f aca="false">IFERROR(INDEX(Comptes!$B$4:$B$50,MATCH($D356,Comptes!$A$4:$A$50,0)),"")</f>
        <v/>
      </c>
      <c r="F356" s="18"/>
      <c r="G356" s="21"/>
      <c r="H356" s="23"/>
      <c r="I356" s="23"/>
    </row>
    <row r="357" customFormat="false" ht="15" hidden="false" customHeight="false" outlineLevel="0" collapsed="false">
      <c r="A357" s="19" t="str">
        <f aca="false">IF(OR(H357&lt;&gt;"",I357&lt;&gt;""),ROW()-3,"")</f>
        <v/>
      </c>
      <c r="B357" s="20"/>
      <c r="C357" s="18"/>
      <c r="D357" s="21"/>
      <c r="E357" s="22" t="str">
        <f aca="false">IFERROR(INDEX(Comptes!$B$4:$B$50,MATCH($D357,Comptes!$A$4:$A$50,0)),"")</f>
        <v/>
      </c>
      <c r="F357" s="18"/>
      <c r="G357" s="21"/>
      <c r="H357" s="23"/>
      <c r="I357" s="23"/>
    </row>
    <row r="358" customFormat="false" ht="15" hidden="false" customHeight="false" outlineLevel="0" collapsed="false">
      <c r="A358" s="19" t="str">
        <f aca="false">IF(OR(H358&lt;&gt;"",I358&lt;&gt;""),ROW()-3,"")</f>
        <v/>
      </c>
      <c r="B358" s="20"/>
      <c r="C358" s="18"/>
      <c r="D358" s="21"/>
      <c r="E358" s="22" t="str">
        <f aca="false">IFERROR(INDEX(Comptes!$B$4:$B$50,MATCH($D358,Comptes!$A$4:$A$50,0)),"")</f>
        <v/>
      </c>
      <c r="F358" s="18"/>
      <c r="G358" s="21"/>
      <c r="H358" s="23"/>
      <c r="I358" s="23"/>
    </row>
    <row r="359" customFormat="false" ht="15" hidden="false" customHeight="false" outlineLevel="0" collapsed="false">
      <c r="A359" s="19" t="str">
        <f aca="false">IF(OR(H359&lt;&gt;"",I359&lt;&gt;""),ROW()-3,"")</f>
        <v/>
      </c>
      <c r="B359" s="20"/>
      <c r="C359" s="18"/>
      <c r="D359" s="21"/>
      <c r="E359" s="22" t="str">
        <f aca="false">IFERROR(INDEX(Comptes!$B$4:$B$50,MATCH($D359,Comptes!$A$4:$A$50,0)),"")</f>
        <v/>
      </c>
      <c r="F359" s="18"/>
      <c r="G359" s="21"/>
      <c r="H359" s="23"/>
      <c r="I359" s="23"/>
    </row>
    <row r="360" customFormat="false" ht="15" hidden="false" customHeight="false" outlineLevel="0" collapsed="false">
      <c r="A360" s="19" t="str">
        <f aca="false">IF(OR(H360&lt;&gt;"",I360&lt;&gt;""),ROW()-3,"")</f>
        <v/>
      </c>
      <c r="B360" s="20"/>
      <c r="C360" s="18"/>
      <c r="D360" s="21"/>
      <c r="E360" s="22" t="str">
        <f aca="false">IFERROR(INDEX(Comptes!$B$4:$B$50,MATCH($D360,Comptes!$A$4:$A$50,0)),"")</f>
        <v/>
      </c>
      <c r="F360" s="18"/>
      <c r="G360" s="21"/>
      <c r="H360" s="23"/>
      <c r="I360" s="23"/>
    </row>
    <row r="361" customFormat="false" ht="15" hidden="false" customHeight="false" outlineLevel="0" collapsed="false">
      <c r="A361" s="19" t="str">
        <f aca="false">IF(OR(H361&lt;&gt;"",I361&lt;&gt;""),ROW()-3,"")</f>
        <v/>
      </c>
      <c r="B361" s="20"/>
      <c r="C361" s="18"/>
      <c r="D361" s="21"/>
      <c r="E361" s="22" t="str">
        <f aca="false">IFERROR(INDEX(Comptes!$B$4:$B$50,MATCH($D361,Comptes!$A$4:$A$50,0)),"")</f>
        <v/>
      </c>
      <c r="F361" s="18"/>
      <c r="G361" s="21"/>
      <c r="H361" s="23"/>
      <c r="I361" s="23"/>
    </row>
    <row r="362" customFormat="false" ht="15" hidden="false" customHeight="false" outlineLevel="0" collapsed="false">
      <c r="A362" s="19" t="str">
        <f aca="false">IF(OR(H362&lt;&gt;"",I362&lt;&gt;""),ROW()-3,"")</f>
        <v/>
      </c>
      <c r="B362" s="20"/>
      <c r="C362" s="18"/>
      <c r="D362" s="21"/>
      <c r="E362" s="22" t="str">
        <f aca="false">IFERROR(INDEX(Comptes!$B$4:$B$50,MATCH($D362,Comptes!$A$4:$A$50,0)),"")</f>
        <v/>
      </c>
      <c r="F362" s="18"/>
      <c r="G362" s="21"/>
      <c r="H362" s="23"/>
      <c r="I362" s="23"/>
    </row>
    <row r="363" customFormat="false" ht="15" hidden="false" customHeight="false" outlineLevel="0" collapsed="false">
      <c r="A363" s="19" t="str">
        <f aca="false">IF(OR(H363&lt;&gt;"",I363&lt;&gt;""),ROW()-3,"")</f>
        <v/>
      </c>
      <c r="B363" s="20"/>
      <c r="C363" s="18"/>
      <c r="D363" s="21"/>
      <c r="E363" s="22" t="str">
        <f aca="false">IFERROR(INDEX(Comptes!$B$4:$B$50,MATCH($D363,Comptes!$A$4:$A$50,0)),"")</f>
        <v/>
      </c>
      <c r="F363" s="18"/>
      <c r="G363" s="21"/>
      <c r="H363" s="23"/>
      <c r="I363" s="23"/>
    </row>
    <row r="364" customFormat="false" ht="15" hidden="false" customHeight="false" outlineLevel="0" collapsed="false">
      <c r="A364" s="19" t="str">
        <f aca="false">IF(OR(H364&lt;&gt;"",I364&lt;&gt;""),ROW()-3,"")</f>
        <v/>
      </c>
      <c r="B364" s="20"/>
      <c r="C364" s="18"/>
      <c r="D364" s="21"/>
      <c r="E364" s="22" t="str">
        <f aca="false">IFERROR(INDEX(Comptes!$B$4:$B$50,MATCH($D364,Comptes!$A$4:$A$50,0)),"")</f>
        <v/>
      </c>
      <c r="F364" s="18"/>
      <c r="G364" s="21"/>
      <c r="H364" s="23"/>
      <c r="I364" s="23"/>
    </row>
    <row r="365" customFormat="false" ht="15" hidden="false" customHeight="false" outlineLevel="0" collapsed="false">
      <c r="A365" s="19" t="str">
        <f aca="false">IF(OR(H365&lt;&gt;"",I365&lt;&gt;""),ROW()-3,"")</f>
        <v/>
      </c>
      <c r="B365" s="20"/>
      <c r="C365" s="18"/>
      <c r="D365" s="21"/>
      <c r="E365" s="22" t="str">
        <f aca="false">IFERROR(INDEX(Comptes!$B$4:$B$50,MATCH($D365,Comptes!$A$4:$A$50,0)),"")</f>
        <v/>
      </c>
      <c r="F365" s="18"/>
      <c r="G365" s="21"/>
      <c r="H365" s="23"/>
      <c r="I365" s="23"/>
    </row>
    <row r="366" customFormat="false" ht="15" hidden="false" customHeight="false" outlineLevel="0" collapsed="false">
      <c r="A366" s="19" t="str">
        <f aca="false">IF(OR(H366&lt;&gt;"",I366&lt;&gt;""),ROW()-3,"")</f>
        <v/>
      </c>
      <c r="B366" s="20"/>
      <c r="C366" s="18"/>
      <c r="D366" s="21"/>
      <c r="E366" s="22" t="str">
        <f aca="false">IFERROR(INDEX(Comptes!$B$4:$B$50,MATCH($D366,Comptes!$A$4:$A$50,0)),"")</f>
        <v/>
      </c>
      <c r="F366" s="18"/>
      <c r="G366" s="21"/>
      <c r="H366" s="23"/>
      <c r="I366" s="23"/>
    </row>
    <row r="367" customFormat="false" ht="15" hidden="false" customHeight="false" outlineLevel="0" collapsed="false">
      <c r="A367" s="19" t="str">
        <f aca="false">IF(OR(H367&lt;&gt;"",I367&lt;&gt;""),ROW()-3,"")</f>
        <v/>
      </c>
      <c r="B367" s="20"/>
      <c r="C367" s="18"/>
      <c r="D367" s="21"/>
      <c r="E367" s="22" t="str">
        <f aca="false">IFERROR(INDEX(Comptes!$B$4:$B$50,MATCH($D367,Comptes!$A$4:$A$50,0)),"")</f>
        <v/>
      </c>
      <c r="F367" s="18"/>
      <c r="G367" s="21"/>
      <c r="H367" s="23"/>
      <c r="I367" s="23"/>
    </row>
    <row r="368" customFormat="false" ht="15" hidden="false" customHeight="false" outlineLevel="0" collapsed="false">
      <c r="A368" s="19" t="str">
        <f aca="false">IF(OR(H368&lt;&gt;"",I368&lt;&gt;""),ROW()-3,"")</f>
        <v/>
      </c>
      <c r="B368" s="20"/>
      <c r="C368" s="18"/>
      <c r="D368" s="21"/>
      <c r="E368" s="22" t="str">
        <f aca="false">IFERROR(INDEX(Comptes!$B$4:$B$50,MATCH($D368,Comptes!$A$4:$A$50,0)),"")</f>
        <v/>
      </c>
      <c r="F368" s="18"/>
      <c r="G368" s="21"/>
      <c r="H368" s="23"/>
      <c r="I368" s="23"/>
    </row>
    <row r="369" customFormat="false" ht="15" hidden="false" customHeight="false" outlineLevel="0" collapsed="false">
      <c r="A369" s="19" t="str">
        <f aca="false">IF(OR(H369&lt;&gt;"",I369&lt;&gt;""),ROW()-3,"")</f>
        <v/>
      </c>
      <c r="B369" s="20"/>
      <c r="C369" s="18"/>
      <c r="D369" s="21"/>
      <c r="E369" s="22" t="str">
        <f aca="false">IFERROR(INDEX(Comptes!$B$4:$B$50,MATCH($D369,Comptes!$A$4:$A$50,0)),"")</f>
        <v/>
      </c>
      <c r="F369" s="18"/>
      <c r="G369" s="21"/>
      <c r="H369" s="23"/>
      <c r="I369" s="23"/>
    </row>
    <row r="370" customFormat="false" ht="15" hidden="false" customHeight="false" outlineLevel="0" collapsed="false">
      <c r="A370" s="19" t="str">
        <f aca="false">IF(OR(H370&lt;&gt;"",I370&lt;&gt;""),ROW()-3,"")</f>
        <v/>
      </c>
      <c r="B370" s="20"/>
      <c r="C370" s="18"/>
      <c r="D370" s="21"/>
      <c r="E370" s="22" t="str">
        <f aca="false">IFERROR(INDEX(Comptes!$B$4:$B$50,MATCH($D370,Comptes!$A$4:$A$50,0)),"")</f>
        <v/>
      </c>
      <c r="F370" s="18"/>
      <c r="G370" s="21"/>
      <c r="H370" s="23"/>
      <c r="I370" s="23"/>
    </row>
    <row r="371" customFormat="false" ht="15" hidden="false" customHeight="false" outlineLevel="0" collapsed="false">
      <c r="A371" s="19" t="str">
        <f aca="false">IF(OR(H371&lt;&gt;"",I371&lt;&gt;""),ROW()-3,"")</f>
        <v/>
      </c>
      <c r="B371" s="20"/>
      <c r="C371" s="18"/>
      <c r="D371" s="21"/>
      <c r="E371" s="22" t="str">
        <f aca="false">IFERROR(INDEX(Comptes!$B$4:$B$50,MATCH($D371,Comptes!$A$4:$A$50,0)),"")</f>
        <v/>
      </c>
      <c r="F371" s="18"/>
      <c r="G371" s="21"/>
      <c r="H371" s="23"/>
      <c r="I371" s="23"/>
    </row>
    <row r="372" customFormat="false" ht="15" hidden="false" customHeight="false" outlineLevel="0" collapsed="false">
      <c r="A372" s="19" t="str">
        <f aca="false">IF(OR(H372&lt;&gt;"",I372&lt;&gt;""),ROW()-3,"")</f>
        <v/>
      </c>
      <c r="B372" s="20"/>
      <c r="C372" s="18"/>
      <c r="D372" s="21"/>
      <c r="E372" s="22" t="str">
        <f aca="false">IFERROR(INDEX(Comptes!$B$4:$B$50,MATCH($D372,Comptes!$A$4:$A$50,0)),"")</f>
        <v/>
      </c>
      <c r="F372" s="18"/>
      <c r="G372" s="21"/>
      <c r="H372" s="23"/>
      <c r="I372" s="23"/>
    </row>
    <row r="373" customFormat="false" ht="15" hidden="false" customHeight="false" outlineLevel="0" collapsed="false">
      <c r="A373" s="19" t="str">
        <f aca="false">IF(OR(H373&lt;&gt;"",I373&lt;&gt;""),ROW()-3,"")</f>
        <v/>
      </c>
      <c r="B373" s="20"/>
      <c r="C373" s="18"/>
      <c r="D373" s="21"/>
      <c r="E373" s="22" t="str">
        <f aca="false">IFERROR(INDEX(Comptes!$B$4:$B$50,MATCH($D373,Comptes!$A$4:$A$50,0)),"")</f>
        <v/>
      </c>
      <c r="F373" s="18"/>
      <c r="G373" s="21"/>
      <c r="H373" s="23"/>
      <c r="I373" s="23"/>
    </row>
    <row r="374" customFormat="false" ht="15" hidden="false" customHeight="false" outlineLevel="0" collapsed="false">
      <c r="A374" s="19" t="str">
        <f aca="false">IF(OR(H374&lt;&gt;"",I374&lt;&gt;""),ROW()-3,"")</f>
        <v/>
      </c>
      <c r="B374" s="20"/>
      <c r="C374" s="18"/>
      <c r="D374" s="21"/>
      <c r="E374" s="22" t="str">
        <f aca="false">IFERROR(INDEX(Comptes!$B$4:$B$50,MATCH($D374,Comptes!$A$4:$A$50,0)),"")</f>
        <v/>
      </c>
      <c r="F374" s="18"/>
      <c r="G374" s="21"/>
      <c r="H374" s="23"/>
      <c r="I374" s="23"/>
    </row>
    <row r="375" customFormat="false" ht="15" hidden="false" customHeight="false" outlineLevel="0" collapsed="false">
      <c r="A375" s="19" t="str">
        <f aca="false">IF(OR(H375&lt;&gt;"",I375&lt;&gt;""),ROW()-3,"")</f>
        <v/>
      </c>
      <c r="B375" s="20"/>
      <c r="C375" s="18"/>
      <c r="D375" s="21"/>
      <c r="E375" s="22" t="str">
        <f aca="false">IFERROR(INDEX(Comptes!$B$4:$B$50,MATCH($D375,Comptes!$A$4:$A$50,0)),"")</f>
        <v/>
      </c>
      <c r="F375" s="18"/>
      <c r="G375" s="21"/>
      <c r="H375" s="23"/>
      <c r="I375" s="23"/>
    </row>
    <row r="376" customFormat="false" ht="15" hidden="false" customHeight="false" outlineLevel="0" collapsed="false">
      <c r="A376" s="19" t="str">
        <f aca="false">IF(OR(H376&lt;&gt;"",I376&lt;&gt;""),ROW()-3,"")</f>
        <v/>
      </c>
      <c r="B376" s="20"/>
      <c r="C376" s="18"/>
      <c r="D376" s="21"/>
      <c r="E376" s="22" t="str">
        <f aca="false">IFERROR(INDEX(Comptes!$B$4:$B$50,MATCH($D376,Comptes!$A$4:$A$50,0)),"")</f>
        <v/>
      </c>
      <c r="F376" s="18"/>
      <c r="G376" s="21"/>
      <c r="H376" s="23"/>
      <c r="I376" s="23"/>
    </row>
    <row r="377" customFormat="false" ht="15" hidden="false" customHeight="false" outlineLevel="0" collapsed="false">
      <c r="A377" s="19" t="str">
        <f aca="false">IF(OR(H377&lt;&gt;"",I377&lt;&gt;""),ROW()-3,"")</f>
        <v/>
      </c>
      <c r="B377" s="20"/>
      <c r="C377" s="18"/>
      <c r="D377" s="21"/>
      <c r="E377" s="22" t="str">
        <f aca="false">IFERROR(INDEX(Comptes!$B$4:$B$50,MATCH($D377,Comptes!$A$4:$A$50,0)),"")</f>
        <v/>
      </c>
      <c r="F377" s="18"/>
      <c r="G377" s="21"/>
      <c r="H377" s="23"/>
      <c r="I377" s="23"/>
    </row>
    <row r="378" customFormat="false" ht="15" hidden="false" customHeight="false" outlineLevel="0" collapsed="false">
      <c r="A378" s="19" t="str">
        <f aca="false">IF(OR(H378&lt;&gt;"",I378&lt;&gt;""),ROW()-3,"")</f>
        <v/>
      </c>
      <c r="B378" s="20"/>
      <c r="C378" s="18"/>
      <c r="D378" s="21"/>
      <c r="E378" s="22" t="str">
        <f aca="false">IFERROR(INDEX(Comptes!$B$4:$B$50,MATCH($D378,Comptes!$A$4:$A$50,0)),"")</f>
        <v/>
      </c>
      <c r="F378" s="18"/>
      <c r="G378" s="21"/>
      <c r="H378" s="23"/>
      <c r="I378" s="23"/>
    </row>
    <row r="379" customFormat="false" ht="15" hidden="false" customHeight="false" outlineLevel="0" collapsed="false">
      <c r="A379" s="19" t="str">
        <f aca="false">IF(OR(H379&lt;&gt;"",I379&lt;&gt;""),ROW()-3,"")</f>
        <v/>
      </c>
      <c r="B379" s="20"/>
      <c r="C379" s="18"/>
      <c r="D379" s="21"/>
      <c r="E379" s="22" t="str">
        <f aca="false">IFERROR(INDEX(Comptes!$B$4:$B$50,MATCH($D379,Comptes!$A$4:$A$50,0)),"")</f>
        <v/>
      </c>
      <c r="F379" s="18"/>
      <c r="G379" s="21"/>
      <c r="H379" s="23"/>
      <c r="I379" s="23"/>
    </row>
    <row r="380" customFormat="false" ht="15" hidden="false" customHeight="false" outlineLevel="0" collapsed="false">
      <c r="A380" s="19" t="str">
        <f aca="false">IF(OR(H380&lt;&gt;"",I380&lt;&gt;""),ROW()-3,"")</f>
        <v/>
      </c>
      <c r="B380" s="20"/>
      <c r="C380" s="18"/>
      <c r="D380" s="21"/>
      <c r="E380" s="22" t="str">
        <f aca="false">IFERROR(INDEX(Comptes!$B$4:$B$50,MATCH($D380,Comptes!$A$4:$A$50,0)),"")</f>
        <v/>
      </c>
      <c r="F380" s="18"/>
      <c r="G380" s="21"/>
      <c r="H380" s="23"/>
      <c r="I380" s="23"/>
    </row>
    <row r="381" customFormat="false" ht="15" hidden="false" customHeight="false" outlineLevel="0" collapsed="false">
      <c r="A381" s="19" t="str">
        <f aca="false">IF(OR(H381&lt;&gt;"",I381&lt;&gt;""),ROW()-3,"")</f>
        <v/>
      </c>
      <c r="B381" s="20"/>
      <c r="C381" s="18"/>
      <c r="D381" s="21"/>
      <c r="E381" s="22" t="str">
        <f aca="false">IFERROR(INDEX(Comptes!$B$4:$B$50,MATCH($D381,Comptes!$A$4:$A$50,0)),"")</f>
        <v/>
      </c>
      <c r="F381" s="18"/>
      <c r="G381" s="21"/>
      <c r="H381" s="23"/>
      <c r="I381" s="23"/>
    </row>
    <row r="382" customFormat="false" ht="15" hidden="false" customHeight="false" outlineLevel="0" collapsed="false">
      <c r="A382" s="19" t="str">
        <f aca="false">IF(OR(H382&lt;&gt;"",I382&lt;&gt;""),ROW()-3,"")</f>
        <v/>
      </c>
      <c r="B382" s="20"/>
      <c r="C382" s="18"/>
      <c r="D382" s="21"/>
      <c r="E382" s="22" t="str">
        <f aca="false">IFERROR(INDEX(Comptes!$B$4:$B$50,MATCH($D382,Comptes!$A$4:$A$50,0)),"")</f>
        <v/>
      </c>
      <c r="F382" s="18"/>
      <c r="G382" s="21"/>
      <c r="H382" s="23"/>
      <c r="I382" s="23"/>
    </row>
    <row r="383" customFormat="false" ht="15" hidden="false" customHeight="false" outlineLevel="0" collapsed="false">
      <c r="A383" s="19" t="str">
        <f aca="false">IF(OR(H383&lt;&gt;"",I383&lt;&gt;""),ROW()-3,"")</f>
        <v/>
      </c>
      <c r="B383" s="20"/>
      <c r="C383" s="18"/>
      <c r="D383" s="21"/>
      <c r="E383" s="22" t="str">
        <f aca="false">IFERROR(INDEX(Comptes!$B$4:$B$50,MATCH($D383,Comptes!$A$4:$A$50,0)),"")</f>
        <v/>
      </c>
      <c r="F383" s="18"/>
      <c r="G383" s="21"/>
      <c r="H383" s="23"/>
      <c r="I383" s="23"/>
    </row>
    <row r="384" customFormat="false" ht="15" hidden="false" customHeight="false" outlineLevel="0" collapsed="false">
      <c r="A384" s="19" t="str">
        <f aca="false">IF(OR(H384&lt;&gt;"",I384&lt;&gt;""),ROW()-3,"")</f>
        <v/>
      </c>
      <c r="B384" s="20"/>
      <c r="C384" s="18"/>
      <c r="D384" s="21"/>
      <c r="E384" s="22" t="str">
        <f aca="false">IFERROR(INDEX(Comptes!$B$4:$B$50,MATCH($D384,Comptes!$A$4:$A$50,0)),"")</f>
        <v/>
      </c>
      <c r="F384" s="18"/>
      <c r="G384" s="21"/>
      <c r="H384" s="23"/>
      <c r="I384" s="23"/>
    </row>
    <row r="385" customFormat="false" ht="15" hidden="false" customHeight="false" outlineLevel="0" collapsed="false">
      <c r="A385" s="19" t="str">
        <f aca="false">IF(OR(H385&lt;&gt;"",I385&lt;&gt;""),ROW()-3,"")</f>
        <v/>
      </c>
      <c r="B385" s="20"/>
      <c r="C385" s="18"/>
      <c r="D385" s="21"/>
      <c r="E385" s="22" t="str">
        <f aca="false">IFERROR(INDEX(Comptes!$B$4:$B$50,MATCH($D385,Comptes!$A$4:$A$50,0)),"")</f>
        <v/>
      </c>
      <c r="F385" s="18"/>
      <c r="G385" s="21"/>
      <c r="H385" s="23"/>
      <c r="I385" s="23"/>
    </row>
    <row r="386" customFormat="false" ht="15" hidden="false" customHeight="false" outlineLevel="0" collapsed="false">
      <c r="A386" s="19" t="str">
        <f aca="false">IF(OR(H386&lt;&gt;"",I386&lt;&gt;""),ROW()-3,"")</f>
        <v/>
      </c>
      <c r="B386" s="20"/>
      <c r="C386" s="18"/>
      <c r="D386" s="21"/>
      <c r="E386" s="22" t="str">
        <f aca="false">IFERROR(INDEX(Comptes!$B$4:$B$50,MATCH($D386,Comptes!$A$4:$A$50,0)),"")</f>
        <v/>
      </c>
      <c r="F386" s="18"/>
      <c r="G386" s="21"/>
      <c r="H386" s="23"/>
      <c r="I386" s="23"/>
    </row>
    <row r="387" customFormat="false" ht="15" hidden="false" customHeight="false" outlineLevel="0" collapsed="false">
      <c r="A387" s="19" t="str">
        <f aca="false">IF(OR(H387&lt;&gt;"",I387&lt;&gt;""),ROW()-3,"")</f>
        <v/>
      </c>
      <c r="B387" s="20"/>
      <c r="C387" s="18"/>
      <c r="D387" s="21"/>
      <c r="E387" s="22" t="str">
        <f aca="false">IFERROR(INDEX(Comptes!$B$4:$B$50,MATCH($D387,Comptes!$A$4:$A$50,0)),"")</f>
        <v/>
      </c>
      <c r="F387" s="18"/>
      <c r="G387" s="21"/>
      <c r="H387" s="23"/>
      <c r="I387" s="23"/>
    </row>
    <row r="388" customFormat="false" ht="15" hidden="false" customHeight="false" outlineLevel="0" collapsed="false">
      <c r="A388" s="19" t="str">
        <f aca="false">IF(OR(H388&lt;&gt;"",I388&lt;&gt;""),ROW()-3,"")</f>
        <v/>
      </c>
      <c r="B388" s="20"/>
      <c r="C388" s="18"/>
      <c r="D388" s="21"/>
      <c r="E388" s="22" t="str">
        <f aca="false">IFERROR(INDEX(Comptes!$B$4:$B$50,MATCH($D388,Comptes!$A$4:$A$50,0)),"")</f>
        <v/>
      </c>
      <c r="F388" s="18"/>
      <c r="G388" s="21"/>
      <c r="H388" s="23"/>
      <c r="I388" s="23"/>
    </row>
    <row r="389" customFormat="false" ht="15" hidden="false" customHeight="false" outlineLevel="0" collapsed="false">
      <c r="A389" s="19" t="str">
        <f aca="false">IF(OR(H389&lt;&gt;"",I389&lt;&gt;""),ROW()-3,"")</f>
        <v/>
      </c>
      <c r="B389" s="20"/>
      <c r="C389" s="18"/>
      <c r="D389" s="21"/>
      <c r="E389" s="22" t="str">
        <f aca="false">IFERROR(INDEX(Comptes!$B$4:$B$50,MATCH($D389,Comptes!$A$4:$A$50,0)),"")</f>
        <v/>
      </c>
      <c r="F389" s="18"/>
      <c r="G389" s="21"/>
      <c r="H389" s="23"/>
      <c r="I389" s="23"/>
    </row>
    <row r="390" customFormat="false" ht="15" hidden="false" customHeight="false" outlineLevel="0" collapsed="false">
      <c r="A390" s="19" t="str">
        <f aca="false">IF(OR(H390&lt;&gt;"",I390&lt;&gt;""),ROW()-3,"")</f>
        <v/>
      </c>
      <c r="B390" s="20"/>
      <c r="C390" s="18"/>
      <c r="D390" s="21"/>
      <c r="E390" s="22" t="str">
        <f aca="false">IFERROR(INDEX(Comptes!$B$4:$B$50,MATCH($D390,Comptes!$A$4:$A$50,0)),"")</f>
        <v/>
      </c>
      <c r="F390" s="18"/>
      <c r="G390" s="21"/>
      <c r="H390" s="23"/>
      <c r="I390" s="23"/>
    </row>
    <row r="391" customFormat="false" ht="15" hidden="false" customHeight="false" outlineLevel="0" collapsed="false">
      <c r="A391" s="19" t="str">
        <f aca="false">IF(OR(H391&lt;&gt;"",I391&lt;&gt;""),ROW()-3,"")</f>
        <v/>
      </c>
      <c r="B391" s="20"/>
      <c r="C391" s="18"/>
      <c r="D391" s="21"/>
      <c r="E391" s="22" t="str">
        <f aca="false">IFERROR(INDEX(Comptes!$B$4:$B$50,MATCH($D391,Comptes!$A$4:$A$50,0)),"")</f>
        <v/>
      </c>
      <c r="F391" s="18"/>
      <c r="G391" s="21"/>
      <c r="H391" s="23"/>
      <c r="I391" s="23"/>
    </row>
    <row r="392" customFormat="false" ht="15" hidden="false" customHeight="false" outlineLevel="0" collapsed="false">
      <c r="A392" s="19" t="str">
        <f aca="false">IF(OR(H392&lt;&gt;"",I392&lt;&gt;""),ROW()-3,"")</f>
        <v/>
      </c>
      <c r="B392" s="20"/>
      <c r="C392" s="18"/>
      <c r="D392" s="21"/>
      <c r="E392" s="22" t="str">
        <f aca="false">IFERROR(INDEX(Comptes!$B$4:$B$50,MATCH($D392,Comptes!$A$4:$A$50,0)),"")</f>
        <v/>
      </c>
      <c r="F392" s="18"/>
      <c r="G392" s="21"/>
      <c r="H392" s="23"/>
      <c r="I392" s="23"/>
    </row>
    <row r="393" customFormat="false" ht="15" hidden="false" customHeight="false" outlineLevel="0" collapsed="false">
      <c r="A393" s="19" t="str">
        <f aca="false">IF(OR(H393&lt;&gt;"",I393&lt;&gt;""),ROW()-3,"")</f>
        <v/>
      </c>
      <c r="B393" s="20"/>
      <c r="C393" s="18"/>
      <c r="D393" s="21"/>
      <c r="E393" s="22" t="str">
        <f aca="false">IFERROR(INDEX(Comptes!$B$4:$B$50,MATCH($D393,Comptes!$A$4:$A$50,0)),"")</f>
        <v/>
      </c>
      <c r="F393" s="18"/>
      <c r="G393" s="21"/>
      <c r="H393" s="23"/>
      <c r="I393" s="23"/>
    </row>
    <row r="394" customFormat="false" ht="15" hidden="false" customHeight="false" outlineLevel="0" collapsed="false">
      <c r="A394" s="19" t="str">
        <f aca="false">IF(OR(H394&lt;&gt;"",I394&lt;&gt;""),ROW()-3,"")</f>
        <v/>
      </c>
      <c r="B394" s="20"/>
      <c r="C394" s="18"/>
      <c r="D394" s="21"/>
      <c r="E394" s="22" t="str">
        <f aca="false">IFERROR(INDEX(Comptes!$B$4:$B$50,MATCH($D394,Comptes!$A$4:$A$50,0)),"")</f>
        <v/>
      </c>
      <c r="F394" s="18"/>
      <c r="G394" s="21"/>
      <c r="H394" s="23"/>
      <c r="I394" s="23"/>
    </row>
    <row r="395" customFormat="false" ht="15" hidden="false" customHeight="false" outlineLevel="0" collapsed="false">
      <c r="A395" s="19" t="str">
        <f aca="false">IF(OR(H395&lt;&gt;"",I395&lt;&gt;""),ROW()-3,"")</f>
        <v/>
      </c>
      <c r="B395" s="20"/>
      <c r="C395" s="18"/>
      <c r="D395" s="21"/>
      <c r="E395" s="22" t="str">
        <f aca="false">IFERROR(INDEX(Comptes!$B$4:$B$50,MATCH($D395,Comptes!$A$4:$A$50,0)),"")</f>
        <v/>
      </c>
      <c r="F395" s="18"/>
      <c r="G395" s="21"/>
      <c r="H395" s="23"/>
      <c r="I395" s="23"/>
    </row>
    <row r="396" customFormat="false" ht="15" hidden="false" customHeight="false" outlineLevel="0" collapsed="false">
      <c r="A396" s="19" t="str">
        <f aca="false">IF(OR(H396&lt;&gt;"",I396&lt;&gt;""),ROW()-3,"")</f>
        <v/>
      </c>
      <c r="B396" s="20"/>
      <c r="C396" s="18"/>
      <c r="D396" s="21"/>
      <c r="E396" s="22" t="str">
        <f aca="false">IFERROR(INDEX(Comptes!$B$4:$B$50,MATCH($D396,Comptes!$A$4:$A$50,0)),"")</f>
        <v/>
      </c>
      <c r="F396" s="18"/>
      <c r="G396" s="21"/>
      <c r="H396" s="23"/>
      <c r="I396" s="23"/>
    </row>
    <row r="397" customFormat="false" ht="15" hidden="false" customHeight="false" outlineLevel="0" collapsed="false">
      <c r="A397" s="19" t="str">
        <f aca="false">IF(OR(H397&lt;&gt;"",I397&lt;&gt;""),ROW()-3,"")</f>
        <v/>
      </c>
      <c r="B397" s="20"/>
      <c r="C397" s="18"/>
      <c r="D397" s="21"/>
      <c r="E397" s="22" t="str">
        <f aca="false">IFERROR(INDEX(Comptes!$B$4:$B$50,MATCH($D397,Comptes!$A$4:$A$50,0)),"")</f>
        <v/>
      </c>
      <c r="F397" s="18"/>
      <c r="G397" s="21"/>
      <c r="H397" s="23"/>
      <c r="I397" s="23"/>
    </row>
    <row r="398" customFormat="false" ht="15" hidden="false" customHeight="false" outlineLevel="0" collapsed="false">
      <c r="A398" s="19" t="str">
        <f aca="false">IF(OR(H398&lt;&gt;"",I398&lt;&gt;""),ROW()-3,"")</f>
        <v/>
      </c>
      <c r="B398" s="20"/>
      <c r="C398" s="18"/>
      <c r="D398" s="21"/>
      <c r="E398" s="22" t="str">
        <f aca="false">IFERROR(INDEX(Comptes!$B$4:$B$50,MATCH($D398,Comptes!$A$4:$A$50,0)),"")</f>
        <v/>
      </c>
      <c r="F398" s="18"/>
      <c r="G398" s="21"/>
      <c r="H398" s="23"/>
      <c r="I398" s="23"/>
    </row>
    <row r="399" customFormat="false" ht="15" hidden="false" customHeight="false" outlineLevel="0" collapsed="false">
      <c r="A399" s="19" t="str">
        <f aca="false">IF(OR(H399&lt;&gt;"",I399&lt;&gt;""),ROW()-3,"")</f>
        <v/>
      </c>
      <c r="B399" s="20"/>
      <c r="C399" s="18"/>
      <c r="D399" s="21"/>
      <c r="E399" s="22" t="str">
        <f aca="false">IFERROR(INDEX(Comptes!$B$4:$B$50,MATCH($D399,Comptes!$A$4:$A$50,0)),"")</f>
        <v/>
      </c>
      <c r="F399" s="18"/>
      <c r="G399" s="21"/>
      <c r="H399" s="23"/>
      <c r="I399" s="23"/>
    </row>
    <row r="400" customFormat="false" ht="15" hidden="false" customHeight="false" outlineLevel="0" collapsed="false">
      <c r="A400" s="19" t="str">
        <f aca="false">IF(OR(H400&lt;&gt;"",I400&lt;&gt;""),ROW()-3,"")</f>
        <v/>
      </c>
      <c r="B400" s="20"/>
      <c r="C400" s="18"/>
      <c r="D400" s="21"/>
      <c r="E400" s="22" t="str">
        <f aca="false">IFERROR(INDEX(Comptes!$B$4:$B$50,MATCH($D400,Comptes!$A$4:$A$50,0)),"")</f>
        <v/>
      </c>
      <c r="F400" s="18"/>
      <c r="G400" s="21"/>
      <c r="H400" s="23"/>
      <c r="I400" s="23"/>
    </row>
    <row r="401" customFormat="false" ht="15" hidden="false" customHeight="false" outlineLevel="0" collapsed="false">
      <c r="A401" s="19" t="str">
        <f aca="false">IF(OR(H401&lt;&gt;"",I401&lt;&gt;""),ROW()-3,"")</f>
        <v/>
      </c>
      <c r="B401" s="20"/>
      <c r="C401" s="18"/>
      <c r="D401" s="21"/>
      <c r="E401" s="22" t="str">
        <f aca="false">IFERROR(INDEX(Comptes!$B$4:$B$50,MATCH($D401,Comptes!$A$4:$A$50,0)),"")</f>
        <v/>
      </c>
      <c r="F401" s="18"/>
      <c r="G401" s="21"/>
      <c r="H401" s="23"/>
      <c r="I401" s="23"/>
    </row>
    <row r="402" customFormat="false" ht="15" hidden="false" customHeight="false" outlineLevel="0" collapsed="false">
      <c r="A402" s="19" t="str">
        <f aca="false">IF(OR(H402&lt;&gt;"",I402&lt;&gt;""),ROW()-3,"")</f>
        <v/>
      </c>
      <c r="B402" s="20"/>
      <c r="C402" s="18"/>
      <c r="D402" s="21"/>
      <c r="E402" s="22" t="str">
        <f aca="false">IFERROR(INDEX(Comptes!$B$4:$B$50,MATCH($D402,Comptes!$A$4:$A$50,0)),"")</f>
        <v/>
      </c>
      <c r="F402" s="18"/>
      <c r="G402" s="21"/>
      <c r="H402" s="23"/>
      <c r="I402" s="23"/>
    </row>
    <row r="403" customFormat="false" ht="15" hidden="false" customHeight="false" outlineLevel="0" collapsed="false">
      <c r="A403" s="19" t="str">
        <f aca="false">IF(OR(H403&lt;&gt;"",I403&lt;&gt;""),ROW()-3,"")</f>
        <v/>
      </c>
      <c r="B403" s="20"/>
      <c r="C403" s="18"/>
      <c r="D403" s="21"/>
      <c r="E403" s="22" t="str">
        <f aca="false">IFERROR(INDEX(Comptes!$B$4:$B$50,MATCH($D403,Comptes!$A$4:$A$50,0)),"")</f>
        <v/>
      </c>
      <c r="F403" s="18"/>
      <c r="G403" s="21"/>
      <c r="H403" s="23"/>
      <c r="I403" s="23"/>
    </row>
    <row r="404" customFormat="false" ht="15" hidden="false" customHeight="false" outlineLevel="0" collapsed="false">
      <c r="A404" s="19" t="str">
        <f aca="false">IF(OR(H404&lt;&gt;"",I404&lt;&gt;""),ROW()-3,"")</f>
        <v/>
      </c>
      <c r="B404" s="20"/>
      <c r="C404" s="18"/>
      <c r="D404" s="21"/>
      <c r="E404" s="22" t="str">
        <f aca="false">IFERROR(INDEX(Comptes!$B$4:$B$50,MATCH($D404,Comptes!$A$4:$A$50,0)),"")</f>
        <v/>
      </c>
      <c r="F404" s="18"/>
      <c r="G404" s="21"/>
      <c r="H404" s="23"/>
      <c r="I404" s="23"/>
    </row>
    <row r="405" customFormat="false" ht="15" hidden="false" customHeight="false" outlineLevel="0" collapsed="false">
      <c r="A405" s="19" t="str">
        <f aca="false">IF(OR(H405&lt;&gt;"",I405&lt;&gt;""),ROW()-3,"")</f>
        <v/>
      </c>
      <c r="B405" s="20"/>
      <c r="C405" s="18"/>
      <c r="D405" s="21"/>
      <c r="E405" s="22" t="str">
        <f aca="false">IFERROR(INDEX(Comptes!$B$4:$B$50,MATCH($D405,Comptes!$A$4:$A$50,0)),"")</f>
        <v/>
      </c>
      <c r="F405" s="18"/>
      <c r="G405" s="21"/>
      <c r="H405" s="23"/>
      <c r="I405" s="23"/>
    </row>
    <row r="406" customFormat="false" ht="15" hidden="false" customHeight="false" outlineLevel="0" collapsed="false">
      <c r="A406" s="19" t="str">
        <f aca="false">IF(OR(H406&lt;&gt;"",I406&lt;&gt;""),ROW()-3,"")</f>
        <v/>
      </c>
      <c r="B406" s="20"/>
      <c r="C406" s="18"/>
      <c r="D406" s="21"/>
      <c r="E406" s="22" t="str">
        <f aca="false">IFERROR(INDEX(Comptes!$B$4:$B$50,MATCH($D406,Comptes!$A$4:$A$50,0)),"")</f>
        <v/>
      </c>
      <c r="F406" s="18"/>
      <c r="G406" s="21"/>
      <c r="H406" s="23"/>
      <c r="I406" s="23"/>
    </row>
    <row r="407" customFormat="false" ht="15" hidden="false" customHeight="false" outlineLevel="0" collapsed="false">
      <c r="A407" s="19" t="str">
        <f aca="false">IF(OR(H407&lt;&gt;"",I407&lt;&gt;""),ROW()-3,"")</f>
        <v/>
      </c>
      <c r="B407" s="20"/>
      <c r="C407" s="18"/>
      <c r="D407" s="21"/>
      <c r="E407" s="22" t="str">
        <f aca="false">IFERROR(INDEX(Comptes!$B$4:$B$50,MATCH($D407,Comptes!$A$4:$A$50,0)),"")</f>
        <v/>
      </c>
      <c r="F407" s="18"/>
      <c r="G407" s="21"/>
      <c r="H407" s="23"/>
      <c r="I407" s="23"/>
    </row>
    <row r="408" customFormat="false" ht="15" hidden="false" customHeight="false" outlineLevel="0" collapsed="false">
      <c r="A408" s="19" t="str">
        <f aca="false">IF(OR(H408&lt;&gt;"",I408&lt;&gt;""),ROW()-3,"")</f>
        <v/>
      </c>
      <c r="B408" s="20"/>
      <c r="C408" s="18"/>
      <c r="D408" s="21"/>
      <c r="E408" s="22" t="str">
        <f aca="false">IFERROR(INDEX(Comptes!$B$4:$B$50,MATCH($D408,Comptes!$A$4:$A$50,0)),"")</f>
        <v/>
      </c>
      <c r="F408" s="18"/>
      <c r="G408" s="21"/>
      <c r="H408" s="23"/>
      <c r="I408" s="23"/>
    </row>
    <row r="409" customFormat="false" ht="15" hidden="false" customHeight="false" outlineLevel="0" collapsed="false">
      <c r="A409" s="19" t="str">
        <f aca="false">IF(OR(H409&lt;&gt;"",I409&lt;&gt;""),ROW()-3,"")</f>
        <v/>
      </c>
      <c r="B409" s="20"/>
      <c r="C409" s="18"/>
      <c r="D409" s="21"/>
      <c r="E409" s="22" t="str">
        <f aca="false">IFERROR(INDEX(Comptes!$B$4:$B$50,MATCH($D409,Comptes!$A$4:$A$50,0)),"")</f>
        <v/>
      </c>
      <c r="F409" s="18"/>
      <c r="G409" s="21"/>
      <c r="H409" s="23"/>
      <c r="I409" s="23"/>
    </row>
    <row r="410" customFormat="false" ht="15" hidden="false" customHeight="false" outlineLevel="0" collapsed="false">
      <c r="A410" s="19" t="str">
        <f aca="false">IF(OR(H410&lt;&gt;"",I410&lt;&gt;""),ROW()-3,"")</f>
        <v/>
      </c>
      <c r="B410" s="20"/>
      <c r="C410" s="18"/>
      <c r="D410" s="21"/>
      <c r="E410" s="22" t="str">
        <f aca="false">IFERROR(INDEX(Comptes!$B$4:$B$50,MATCH($D410,Comptes!$A$4:$A$50,0)),"")</f>
        <v/>
      </c>
      <c r="F410" s="18"/>
      <c r="G410" s="21"/>
      <c r="H410" s="23"/>
      <c r="I410" s="23"/>
    </row>
    <row r="411" customFormat="false" ht="15" hidden="false" customHeight="false" outlineLevel="0" collapsed="false">
      <c r="A411" s="19" t="str">
        <f aca="false">IF(OR(H411&lt;&gt;"",I411&lt;&gt;""),ROW()-3,"")</f>
        <v/>
      </c>
      <c r="B411" s="20"/>
      <c r="C411" s="18"/>
      <c r="D411" s="21"/>
      <c r="E411" s="22" t="str">
        <f aca="false">IFERROR(INDEX(Comptes!$B$4:$B$50,MATCH($D411,Comptes!$A$4:$A$50,0)),"")</f>
        <v/>
      </c>
      <c r="F411" s="18"/>
      <c r="G411" s="21"/>
      <c r="H411" s="23"/>
      <c r="I411" s="23"/>
    </row>
    <row r="412" customFormat="false" ht="15" hidden="false" customHeight="false" outlineLevel="0" collapsed="false">
      <c r="A412" s="19" t="str">
        <f aca="false">IF(OR(H412&lt;&gt;"",I412&lt;&gt;""),ROW()-3,"")</f>
        <v/>
      </c>
      <c r="B412" s="20"/>
      <c r="C412" s="18"/>
      <c r="D412" s="21"/>
      <c r="E412" s="22" t="str">
        <f aca="false">IFERROR(INDEX(Comptes!$B$4:$B$50,MATCH($D412,Comptes!$A$4:$A$50,0)),"")</f>
        <v/>
      </c>
      <c r="F412" s="18"/>
      <c r="G412" s="21"/>
      <c r="H412" s="23"/>
      <c r="I412" s="23"/>
    </row>
    <row r="413" customFormat="false" ht="15" hidden="false" customHeight="false" outlineLevel="0" collapsed="false">
      <c r="A413" s="19" t="str">
        <f aca="false">IF(OR(H413&lt;&gt;"",I413&lt;&gt;""),ROW()-3,"")</f>
        <v/>
      </c>
      <c r="B413" s="20"/>
      <c r="C413" s="18"/>
      <c r="D413" s="21"/>
      <c r="E413" s="22" t="str">
        <f aca="false">IFERROR(INDEX(Comptes!$B$4:$B$50,MATCH($D413,Comptes!$A$4:$A$50,0)),"")</f>
        <v/>
      </c>
      <c r="F413" s="18"/>
      <c r="G413" s="21"/>
      <c r="H413" s="23"/>
      <c r="I413" s="23"/>
    </row>
    <row r="414" customFormat="false" ht="15" hidden="false" customHeight="false" outlineLevel="0" collapsed="false">
      <c r="A414" s="19" t="str">
        <f aca="false">IF(OR(H414&lt;&gt;"",I414&lt;&gt;""),ROW()-3,"")</f>
        <v/>
      </c>
      <c r="B414" s="20"/>
      <c r="C414" s="18"/>
      <c r="D414" s="21"/>
      <c r="E414" s="22" t="str">
        <f aca="false">IFERROR(INDEX(Comptes!$B$4:$B$50,MATCH($D414,Comptes!$A$4:$A$50,0)),"")</f>
        <v/>
      </c>
      <c r="F414" s="18"/>
      <c r="G414" s="21"/>
      <c r="H414" s="23"/>
      <c r="I414" s="23"/>
    </row>
    <row r="415" customFormat="false" ht="15" hidden="false" customHeight="false" outlineLevel="0" collapsed="false">
      <c r="A415" s="19" t="str">
        <f aca="false">IF(OR(H415&lt;&gt;"",I415&lt;&gt;""),ROW()-3,"")</f>
        <v/>
      </c>
      <c r="B415" s="20"/>
      <c r="C415" s="18"/>
      <c r="D415" s="21"/>
      <c r="E415" s="22" t="str">
        <f aca="false">IFERROR(INDEX(Comptes!$B$4:$B$50,MATCH($D415,Comptes!$A$4:$A$50,0)),"")</f>
        <v/>
      </c>
      <c r="F415" s="18"/>
      <c r="G415" s="21"/>
      <c r="H415" s="23"/>
      <c r="I415" s="23"/>
    </row>
    <row r="416" customFormat="false" ht="15" hidden="false" customHeight="false" outlineLevel="0" collapsed="false">
      <c r="A416" s="19" t="str">
        <f aca="false">IF(OR(H416&lt;&gt;"",I416&lt;&gt;""),ROW()-3,"")</f>
        <v/>
      </c>
      <c r="B416" s="20"/>
      <c r="C416" s="18"/>
      <c r="D416" s="21"/>
      <c r="E416" s="22" t="str">
        <f aca="false">IFERROR(INDEX(Comptes!$B$4:$B$50,MATCH($D416,Comptes!$A$4:$A$50,0)),"")</f>
        <v/>
      </c>
      <c r="F416" s="18"/>
      <c r="G416" s="21"/>
      <c r="H416" s="23"/>
      <c r="I416" s="23"/>
    </row>
    <row r="417" customFormat="false" ht="15" hidden="false" customHeight="false" outlineLevel="0" collapsed="false">
      <c r="A417" s="19" t="str">
        <f aca="false">IF(OR(H417&lt;&gt;"",I417&lt;&gt;""),ROW()-3,"")</f>
        <v/>
      </c>
      <c r="B417" s="20"/>
      <c r="C417" s="18"/>
      <c r="D417" s="21"/>
      <c r="E417" s="22" t="str">
        <f aca="false">IFERROR(INDEX(Comptes!$B$4:$B$50,MATCH($D417,Comptes!$A$4:$A$50,0)),"")</f>
        <v/>
      </c>
      <c r="F417" s="18"/>
      <c r="G417" s="21"/>
      <c r="H417" s="23"/>
      <c r="I417" s="23"/>
    </row>
    <row r="418" customFormat="false" ht="15" hidden="false" customHeight="false" outlineLevel="0" collapsed="false">
      <c r="A418" s="19" t="str">
        <f aca="false">IF(OR(H418&lt;&gt;"",I418&lt;&gt;""),ROW()-3,"")</f>
        <v/>
      </c>
      <c r="B418" s="20"/>
      <c r="C418" s="18"/>
      <c r="D418" s="21"/>
      <c r="E418" s="22" t="str">
        <f aca="false">IFERROR(INDEX(Comptes!$B$4:$B$50,MATCH($D418,Comptes!$A$4:$A$50,0)),"")</f>
        <v/>
      </c>
      <c r="F418" s="18"/>
      <c r="G418" s="21"/>
      <c r="H418" s="23"/>
      <c r="I418" s="23"/>
    </row>
    <row r="419" customFormat="false" ht="15" hidden="false" customHeight="false" outlineLevel="0" collapsed="false">
      <c r="A419" s="19" t="str">
        <f aca="false">IF(OR(H419&lt;&gt;"",I419&lt;&gt;""),ROW()-3,"")</f>
        <v/>
      </c>
      <c r="B419" s="20"/>
      <c r="C419" s="18"/>
      <c r="D419" s="21"/>
      <c r="E419" s="22" t="str">
        <f aca="false">IFERROR(INDEX(Comptes!$B$4:$B$50,MATCH($D419,Comptes!$A$4:$A$50,0)),"")</f>
        <v/>
      </c>
      <c r="F419" s="18"/>
      <c r="G419" s="21"/>
      <c r="H419" s="23"/>
      <c r="I419" s="23"/>
    </row>
    <row r="420" customFormat="false" ht="15" hidden="false" customHeight="false" outlineLevel="0" collapsed="false">
      <c r="A420" s="19" t="str">
        <f aca="false">IF(OR(H420&lt;&gt;"",I420&lt;&gt;""),ROW()-3,"")</f>
        <v/>
      </c>
      <c r="B420" s="20"/>
      <c r="C420" s="18"/>
      <c r="D420" s="21"/>
      <c r="E420" s="22" t="str">
        <f aca="false">IFERROR(INDEX(Comptes!$B$4:$B$50,MATCH($D420,Comptes!$A$4:$A$50,0)),"")</f>
        <v/>
      </c>
      <c r="F420" s="18"/>
      <c r="G420" s="21"/>
      <c r="H420" s="23"/>
      <c r="I420" s="23"/>
    </row>
    <row r="421" customFormat="false" ht="15" hidden="false" customHeight="false" outlineLevel="0" collapsed="false">
      <c r="A421" s="19" t="str">
        <f aca="false">IF(OR(H421&lt;&gt;"",I421&lt;&gt;""),ROW()-3,"")</f>
        <v/>
      </c>
      <c r="B421" s="20"/>
      <c r="C421" s="18"/>
      <c r="D421" s="21"/>
      <c r="E421" s="22" t="str">
        <f aca="false">IFERROR(INDEX(Comptes!$B$4:$B$50,MATCH($D421,Comptes!$A$4:$A$50,0)),"")</f>
        <v/>
      </c>
      <c r="F421" s="18"/>
      <c r="G421" s="21"/>
      <c r="H421" s="23"/>
      <c r="I421" s="23"/>
    </row>
    <row r="422" customFormat="false" ht="15" hidden="false" customHeight="false" outlineLevel="0" collapsed="false">
      <c r="A422" s="19" t="str">
        <f aca="false">IF(OR(H422&lt;&gt;"",I422&lt;&gt;""),ROW()-3,"")</f>
        <v/>
      </c>
      <c r="B422" s="20"/>
      <c r="C422" s="18"/>
      <c r="D422" s="21"/>
      <c r="E422" s="22" t="str">
        <f aca="false">IFERROR(INDEX(Comptes!$B$4:$B$50,MATCH($D422,Comptes!$A$4:$A$50,0)),"")</f>
        <v/>
      </c>
      <c r="F422" s="18"/>
      <c r="G422" s="21"/>
      <c r="H422" s="23"/>
      <c r="I422" s="23"/>
    </row>
    <row r="423" customFormat="false" ht="15" hidden="false" customHeight="false" outlineLevel="0" collapsed="false">
      <c r="A423" s="19" t="str">
        <f aca="false">IF(OR(H423&lt;&gt;"",I423&lt;&gt;""),ROW()-3,"")</f>
        <v/>
      </c>
      <c r="B423" s="20"/>
      <c r="C423" s="18"/>
      <c r="D423" s="21"/>
      <c r="E423" s="22" t="str">
        <f aca="false">IFERROR(INDEX(Comptes!$B$4:$B$50,MATCH($D423,Comptes!$A$4:$A$50,0)),"")</f>
        <v/>
      </c>
      <c r="F423" s="18"/>
      <c r="G423" s="21"/>
      <c r="H423" s="23"/>
      <c r="I423" s="23"/>
    </row>
    <row r="424" customFormat="false" ht="15" hidden="false" customHeight="false" outlineLevel="0" collapsed="false">
      <c r="A424" s="19" t="str">
        <f aca="false">IF(OR(H424&lt;&gt;"",I424&lt;&gt;""),ROW()-3,"")</f>
        <v/>
      </c>
      <c r="B424" s="20"/>
      <c r="C424" s="18"/>
      <c r="D424" s="21"/>
      <c r="E424" s="22" t="str">
        <f aca="false">IFERROR(INDEX(Comptes!$B$4:$B$50,MATCH($D424,Comptes!$A$4:$A$50,0)),"")</f>
        <v/>
      </c>
      <c r="F424" s="18"/>
      <c r="G424" s="21"/>
      <c r="H424" s="23"/>
      <c r="I424" s="23"/>
    </row>
    <row r="425" customFormat="false" ht="15" hidden="false" customHeight="false" outlineLevel="0" collapsed="false">
      <c r="A425" s="19" t="str">
        <f aca="false">IF(OR(H425&lt;&gt;"",I425&lt;&gt;""),ROW()-3,"")</f>
        <v/>
      </c>
      <c r="B425" s="20"/>
      <c r="C425" s="18"/>
      <c r="D425" s="21"/>
      <c r="E425" s="22" t="str">
        <f aca="false">IFERROR(INDEX(Comptes!$B$4:$B$50,MATCH($D425,Comptes!$A$4:$A$50,0)),"")</f>
        <v/>
      </c>
      <c r="F425" s="18"/>
      <c r="G425" s="21"/>
      <c r="H425" s="23"/>
      <c r="I425" s="23"/>
    </row>
    <row r="426" customFormat="false" ht="15" hidden="false" customHeight="false" outlineLevel="0" collapsed="false">
      <c r="A426" s="19" t="str">
        <f aca="false">IF(OR(H426&lt;&gt;"",I426&lt;&gt;""),ROW()-3,"")</f>
        <v/>
      </c>
      <c r="B426" s="20"/>
      <c r="C426" s="18"/>
      <c r="D426" s="21"/>
      <c r="E426" s="22" t="str">
        <f aca="false">IFERROR(INDEX(Comptes!$B$4:$B$50,MATCH($D426,Comptes!$A$4:$A$50,0)),"")</f>
        <v/>
      </c>
      <c r="F426" s="18"/>
      <c r="G426" s="21"/>
      <c r="H426" s="23"/>
      <c r="I426" s="23"/>
    </row>
    <row r="427" customFormat="false" ht="15" hidden="false" customHeight="false" outlineLevel="0" collapsed="false">
      <c r="A427" s="19" t="str">
        <f aca="false">IF(OR(H427&lt;&gt;"",I427&lt;&gt;""),ROW()-3,"")</f>
        <v/>
      </c>
      <c r="B427" s="20"/>
      <c r="C427" s="18"/>
      <c r="D427" s="21"/>
      <c r="E427" s="22" t="str">
        <f aca="false">IFERROR(INDEX(Comptes!$B$4:$B$50,MATCH($D427,Comptes!$A$4:$A$50,0)),"")</f>
        <v/>
      </c>
      <c r="F427" s="18"/>
      <c r="G427" s="21"/>
      <c r="H427" s="23"/>
      <c r="I427" s="23"/>
    </row>
    <row r="428" customFormat="false" ht="15" hidden="false" customHeight="false" outlineLevel="0" collapsed="false">
      <c r="A428" s="19" t="str">
        <f aca="false">IF(OR(H428&lt;&gt;"",I428&lt;&gt;""),ROW()-3,"")</f>
        <v/>
      </c>
      <c r="B428" s="20"/>
      <c r="C428" s="18"/>
      <c r="D428" s="21"/>
      <c r="E428" s="22" t="str">
        <f aca="false">IFERROR(INDEX(Comptes!$B$4:$B$50,MATCH($D428,Comptes!$A$4:$A$50,0)),"")</f>
        <v/>
      </c>
      <c r="F428" s="18"/>
      <c r="G428" s="21"/>
      <c r="H428" s="23"/>
      <c r="I428" s="23"/>
    </row>
    <row r="429" customFormat="false" ht="15" hidden="false" customHeight="false" outlineLevel="0" collapsed="false">
      <c r="A429" s="19" t="str">
        <f aca="false">IF(OR(H429&lt;&gt;"",I429&lt;&gt;""),ROW()-3,"")</f>
        <v/>
      </c>
      <c r="B429" s="20"/>
      <c r="C429" s="18"/>
      <c r="D429" s="21"/>
      <c r="E429" s="22" t="str">
        <f aca="false">IFERROR(INDEX(Comptes!$B$4:$B$50,MATCH($D429,Comptes!$A$4:$A$50,0)),"")</f>
        <v/>
      </c>
      <c r="F429" s="18"/>
      <c r="G429" s="21"/>
      <c r="H429" s="23"/>
      <c r="I429" s="23"/>
    </row>
    <row r="430" customFormat="false" ht="15" hidden="false" customHeight="false" outlineLevel="0" collapsed="false">
      <c r="A430" s="19" t="str">
        <f aca="false">IF(OR(H430&lt;&gt;"",I430&lt;&gt;""),ROW()-3,"")</f>
        <v/>
      </c>
      <c r="B430" s="20"/>
      <c r="C430" s="18"/>
      <c r="D430" s="21"/>
      <c r="E430" s="22" t="str">
        <f aca="false">IFERROR(INDEX(Comptes!$B$4:$B$50,MATCH($D430,Comptes!$A$4:$A$50,0)),"")</f>
        <v/>
      </c>
      <c r="F430" s="18"/>
      <c r="G430" s="21"/>
      <c r="H430" s="23"/>
      <c r="I430" s="23"/>
    </row>
    <row r="431" customFormat="false" ht="15" hidden="false" customHeight="false" outlineLevel="0" collapsed="false">
      <c r="A431" s="19" t="str">
        <f aca="false">IF(OR(H431&lt;&gt;"",I431&lt;&gt;""),ROW()-3,"")</f>
        <v/>
      </c>
      <c r="B431" s="20"/>
      <c r="C431" s="18"/>
      <c r="D431" s="21"/>
      <c r="E431" s="22" t="str">
        <f aca="false">IFERROR(INDEX(Comptes!$B$4:$B$50,MATCH($D431,Comptes!$A$4:$A$50,0)),"")</f>
        <v/>
      </c>
      <c r="F431" s="18"/>
      <c r="G431" s="21"/>
      <c r="H431" s="23"/>
      <c r="I431" s="23"/>
    </row>
    <row r="432" customFormat="false" ht="15" hidden="false" customHeight="false" outlineLevel="0" collapsed="false">
      <c r="A432" s="19" t="str">
        <f aca="false">IF(OR(H432&lt;&gt;"",I432&lt;&gt;""),ROW()-3,"")</f>
        <v/>
      </c>
      <c r="B432" s="20"/>
      <c r="C432" s="18"/>
      <c r="D432" s="21"/>
      <c r="E432" s="22" t="str">
        <f aca="false">IFERROR(INDEX(Comptes!$B$4:$B$50,MATCH($D432,Comptes!$A$4:$A$50,0)),"")</f>
        <v/>
      </c>
      <c r="F432" s="18"/>
      <c r="G432" s="21"/>
      <c r="H432" s="23"/>
      <c r="I432" s="23"/>
    </row>
    <row r="433" customFormat="false" ht="15" hidden="false" customHeight="false" outlineLevel="0" collapsed="false">
      <c r="A433" s="19" t="str">
        <f aca="false">IF(OR(H433&lt;&gt;"",I433&lt;&gt;""),ROW()-3,"")</f>
        <v/>
      </c>
      <c r="B433" s="20"/>
      <c r="C433" s="18"/>
      <c r="D433" s="21"/>
      <c r="E433" s="22" t="str">
        <f aca="false">IFERROR(INDEX(Comptes!$B$4:$B$50,MATCH($D433,Comptes!$A$4:$A$50,0)),"")</f>
        <v/>
      </c>
      <c r="F433" s="18"/>
      <c r="G433" s="21"/>
      <c r="H433" s="23"/>
      <c r="I433" s="23"/>
    </row>
    <row r="434" customFormat="false" ht="15" hidden="false" customHeight="false" outlineLevel="0" collapsed="false">
      <c r="A434" s="19" t="str">
        <f aca="false">IF(OR(H434&lt;&gt;"",I434&lt;&gt;""),ROW()-3,"")</f>
        <v/>
      </c>
      <c r="B434" s="20"/>
      <c r="C434" s="18"/>
      <c r="D434" s="21"/>
      <c r="E434" s="22" t="str">
        <f aca="false">IFERROR(INDEX(Comptes!$B$4:$B$50,MATCH($D434,Comptes!$A$4:$A$50,0)),"")</f>
        <v/>
      </c>
      <c r="F434" s="18"/>
      <c r="G434" s="21"/>
      <c r="H434" s="23"/>
      <c r="I434" s="23"/>
    </row>
    <row r="435" customFormat="false" ht="15" hidden="false" customHeight="false" outlineLevel="0" collapsed="false">
      <c r="A435" s="19" t="str">
        <f aca="false">IF(OR(H435&lt;&gt;"",I435&lt;&gt;""),ROW()-3,"")</f>
        <v/>
      </c>
      <c r="B435" s="20"/>
      <c r="C435" s="18"/>
      <c r="D435" s="21"/>
      <c r="E435" s="22" t="str">
        <f aca="false">IFERROR(INDEX(Comptes!$B$4:$B$50,MATCH($D435,Comptes!$A$4:$A$50,0)),"")</f>
        <v/>
      </c>
      <c r="F435" s="18"/>
      <c r="G435" s="21"/>
      <c r="H435" s="23"/>
      <c r="I435" s="23"/>
    </row>
    <row r="436" customFormat="false" ht="15" hidden="false" customHeight="false" outlineLevel="0" collapsed="false">
      <c r="A436" s="19" t="str">
        <f aca="false">IF(OR(H436&lt;&gt;"",I436&lt;&gt;""),ROW()-3,"")</f>
        <v/>
      </c>
      <c r="B436" s="20"/>
      <c r="C436" s="18"/>
      <c r="D436" s="21"/>
      <c r="E436" s="22" t="str">
        <f aca="false">IFERROR(INDEX(Comptes!$B$4:$B$50,MATCH($D436,Comptes!$A$4:$A$50,0)),"")</f>
        <v/>
      </c>
      <c r="F436" s="18"/>
      <c r="G436" s="21"/>
      <c r="H436" s="23"/>
      <c r="I436" s="23"/>
    </row>
    <row r="437" customFormat="false" ht="15" hidden="false" customHeight="false" outlineLevel="0" collapsed="false">
      <c r="A437" s="19" t="str">
        <f aca="false">IF(OR(H437&lt;&gt;"",I437&lt;&gt;""),ROW()-3,"")</f>
        <v/>
      </c>
      <c r="B437" s="20"/>
      <c r="C437" s="18"/>
      <c r="D437" s="21"/>
      <c r="E437" s="22" t="str">
        <f aca="false">IFERROR(INDEX(Comptes!$B$4:$B$50,MATCH($D437,Comptes!$A$4:$A$50,0)),"")</f>
        <v/>
      </c>
      <c r="F437" s="18"/>
      <c r="G437" s="21"/>
      <c r="H437" s="23"/>
      <c r="I437" s="23"/>
    </row>
    <row r="438" customFormat="false" ht="15" hidden="false" customHeight="false" outlineLevel="0" collapsed="false">
      <c r="A438" s="19" t="str">
        <f aca="false">IF(OR(H438&lt;&gt;"",I438&lt;&gt;""),ROW()-3,"")</f>
        <v/>
      </c>
      <c r="B438" s="20"/>
      <c r="C438" s="18"/>
      <c r="D438" s="21"/>
      <c r="E438" s="22" t="str">
        <f aca="false">IFERROR(INDEX(Comptes!$B$4:$B$50,MATCH($D438,Comptes!$A$4:$A$50,0)),"")</f>
        <v/>
      </c>
      <c r="F438" s="18"/>
      <c r="G438" s="21"/>
      <c r="H438" s="23"/>
      <c r="I438" s="23"/>
    </row>
    <row r="439" customFormat="false" ht="15" hidden="false" customHeight="false" outlineLevel="0" collapsed="false">
      <c r="A439" s="19" t="str">
        <f aca="false">IF(OR(H439&lt;&gt;"",I439&lt;&gt;""),ROW()-3,"")</f>
        <v/>
      </c>
      <c r="B439" s="20"/>
      <c r="C439" s="18"/>
      <c r="D439" s="21"/>
      <c r="E439" s="22" t="str">
        <f aca="false">IFERROR(INDEX(Comptes!$B$4:$B$50,MATCH($D439,Comptes!$A$4:$A$50,0)),"")</f>
        <v/>
      </c>
      <c r="F439" s="18"/>
      <c r="G439" s="21"/>
      <c r="H439" s="23"/>
      <c r="I439" s="23"/>
    </row>
    <row r="440" customFormat="false" ht="15" hidden="false" customHeight="false" outlineLevel="0" collapsed="false">
      <c r="A440" s="19" t="str">
        <f aca="false">IF(OR(H440&lt;&gt;"",I440&lt;&gt;""),ROW()-3,"")</f>
        <v/>
      </c>
      <c r="B440" s="20"/>
      <c r="C440" s="18"/>
      <c r="D440" s="21"/>
      <c r="E440" s="22" t="str">
        <f aca="false">IFERROR(INDEX(Comptes!$B$4:$B$50,MATCH($D440,Comptes!$A$4:$A$50,0)),"")</f>
        <v/>
      </c>
      <c r="F440" s="18"/>
      <c r="G440" s="21"/>
      <c r="H440" s="23"/>
      <c r="I440" s="23"/>
    </row>
    <row r="441" customFormat="false" ht="15" hidden="false" customHeight="false" outlineLevel="0" collapsed="false">
      <c r="A441" s="19" t="str">
        <f aca="false">IF(OR(H441&lt;&gt;"",I441&lt;&gt;""),ROW()-3,"")</f>
        <v/>
      </c>
      <c r="B441" s="20"/>
      <c r="C441" s="18"/>
      <c r="D441" s="21"/>
      <c r="E441" s="22" t="str">
        <f aca="false">IFERROR(INDEX(Comptes!$B$4:$B$50,MATCH($D441,Comptes!$A$4:$A$50,0)),"")</f>
        <v/>
      </c>
      <c r="F441" s="18"/>
      <c r="G441" s="21"/>
      <c r="H441" s="23"/>
      <c r="I441" s="23"/>
    </row>
    <row r="442" customFormat="false" ht="15" hidden="false" customHeight="false" outlineLevel="0" collapsed="false">
      <c r="A442" s="19" t="str">
        <f aca="false">IF(OR(H442&lt;&gt;"",I442&lt;&gt;""),ROW()-3,"")</f>
        <v/>
      </c>
      <c r="B442" s="20"/>
      <c r="C442" s="18"/>
      <c r="D442" s="21"/>
      <c r="E442" s="22" t="str">
        <f aca="false">IFERROR(INDEX(Comptes!$B$4:$B$50,MATCH($D442,Comptes!$A$4:$A$50,0)),"")</f>
        <v/>
      </c>
      <c r="F442" s="18"/>
      <c r="G442" s="21"/>
      <c r="H442" s="23"/>
      <c r="I442" s="23"/>
    </row>
    <row r="443" customFormat="false" ht="15" hidden="false" customHeight="false" outlineLevel="0" collapsed="false">
      <c r="A443" s="19" t="str">
        <f aca="false">IF(OR(H443&lt;&gt;"",I443&lt;&gt;""),ROW()-3,"")</f>
        <v/>
      </c>
      <c r="B443" s="20"/>
      <c r="C443" s="18"/>
      <c r="D443" s="21"/>
      <c r="E443" s="22" t="str">
        <f aca="false">IFERROR(INDEX(Comptes!$B$4:$B$50,MATCH($D443,Comptes!$A$4:$A$50,0)),"")</f>
        <v/>
      </c>
      <c r="F443" s="18"/>
      <c r="G443" s="21"/>
      <c r="H443" s="23"/>
      <c r="I443" s="23"/>
    </row>
    <row r="444" customFormat="false" ht="15" hidden="false" customHeight="false" outlineLevel="0" collapsed="false">
      <c r="A444" s="19" t="str">
        <f aca="false">IF(OR(H444&lt;&gt;"",I444&lt;&gt;""),ROW()-3,"")</f>
        <v/>
      </c>
      <c r="B444" s="20"/>
      <c r="C444" s="18"/>
      <c r="D444" s="21"/>
      <c r="E444" s="22" t="str">
        <f aca="false">IFERROR(INDEX(Comptes!$B$4:$B$50,MATCH($D444,Comptes!$A$4:$A$50,0)),"")</f>
        <v/>
      </c>
      <c r="F444" s="18"/>
      <c r="G444" s="21"/>
      <c r="H444" s="23"/>
      <c r="I444" s="23"/>
    </row>
    <row r="445" customFormat="false" ht="15" hidden="false" customHeight="false" outlineLevel="0" collapsed="false">
      <c r="A445" s="19" t="str">
        <f aca="false">IF(OR(H445&lt;&gt;"",I445&lt;&gt;""),ROW()-3,"")</f>
        <v/>
      </c>
      <c r="B445" s="20"/>
      <c r="C445" s="18"/>
      <c r="D445" s="21"/>
      <c r="E445" s="22" t="str">
        <f aca="false">IFERROR(INDEX(Comptes!$B$4:$B$50,MATCH($D445,Comptes!$A$4:$A$50,0)),"")</f>
        <v/>
      </c>
      <c r="F445" s="18"/>
      <c r="G445" s="21"/>
      <c r="H445" s="23"/>
      <c r="I445" s="23"/>
    </row>
    <row r="446" customFormat="false" ht="15" hidden="false" customHeight="false" outlineLevel="0" collapsed="false">
      <c r="A446" s="19" t="str">
        <f aca="false">IF(OR(H446&lt;&gt;"",I446&lt;&gt;""),ROW()-3,"")</f>
        <v/>
      </c>
      <c r="B446" s="20"/>
      <c r="C446" s="18"/>
      <c r="D446" s="21"/>
      <c r="E446" s="22" t="str">
        <f aca="false">IFERROR(INDEX(Comptes!$B$4:$B$50,MATCH($D446,Comptes!$A$4:$A$50,0)),"")</f>
        <v/>
      </c>
      <c r="F446" s="18"/>
      <c r="G446" s="21"/>
      <c r="H446" s="23"/>
      <c r="I446" s="23"/>
    </row>
    <row r="447" customFormat="false" ht="15" hidden="false" customHeight="false" outlineLevel="0" collapsed="false">
      <c r="A447" s="19" t="str">
        <f aca="false">IF(OR(H447&lt;&gt;"",I447&lt;&gt;""),ROW()-3,"")</f>
        <v/>
      </c>
      <c r="B447" s="20"/>
      <c r="C447" s="18"/>
      <c r="D447" s="21"/>
      <c r="E447" s="22" t="str">
        <f aca="false">IFERROR(INDEX(Comptes!$B$4:$B$50,MATCH($D447,Comptes!$A$4:$A$50,0)),"")</f>
        <v/>
      </c>
      <c r="F447" s="18"/>
      <c r="G447" s="21"/>
      <c r="H447" s="23"/>
      <c r="I447" s="23"/>
    </row>
    <row r="448" customFormat="false" ht="15" hidden="false" customHeight="false" outlineLevel="0" collapsed="false">
      <c r="A448" s="19" t="str">
        <f aca="false">IF(OR(H448&lt;&gt;"",I448&lt;&gt;""),ROW()-3,"")</f>
        <v/>
      </c>
      <c r="B448" s="20"/>
      <c r="C448" s="18"/>
      <c r="D448" s="21"/>
      <c r="E448" s="22" t="str">
        <f aca="false">IFERROR(INDEX(Comptes!$B$4:$B$50,MATCH($D448,Comptes!$A$4:$A$50,0)),"")</f>
        <v/>
      </c>
      <c r="F448" s="18"/>
      <c r="G448" s="21"/>
      <c r="H448" s="23"/>
      <c r="I448" s="23"/>
    </row>
    <row r="449" customFormat="false" ht="15" hidden="false" customHeight="false" outlineLevel="0" collapsed="false">
      <c r="A449" s="19" t="str">
        <f aca="false">IF(OR(H449&lt;&gt;"",I449&lt;&gt;""),ROW()-3,"")</f>
        <v/>
      </c>
      <c r="B449" s="20"/>
      <c r="C449" s="18"/>
      <c r="D449" s="21"/>
      <c r="E449" s="22" t="str">
        <f aca="false">IFERROR(INDEX(Comptes!$B$4:$B$50,MATCH($D449,Comptes!$A$4:$A$50,0)),"")</f>
        <v/>
      </c>
      <c r="F449" s="18"/>
      <c r="G449" s="21"/>
      <c r="H449" s="23"/>
      <c r="I449" s="23"/>
    </row>
    <row r="450" customFormat="false" ht="15" hidden="false" customHeight="false" outlineLevel="0" collapsed="false">
      <c r="A450" s="19" t="str">
        <f aca="false">IF(OR(H450&lt;&gt;"",I450&lt;&gt;""),ROW()-3,"")</f>
        <v/>
      </c>
      <c r="B450" s="20"/>
      <c r="C450" s="18"/>
      <c r="D450" s="21"/>
      <c r="E450" s="22" t="str">
        <f aca="false">IFERROR(INDEX(Comptes!$B$4:$B$50,MATCH($D450,Comptes!$A$4:$A$50,0)),"")</f>
        <v/>
      </c>
      <c r="F450" s="18"/>
      <c r="G450" s="21"/>
      <c r="H450" s="23"/>
      <c r="I450" s="23"/>
    </row>
    <row r="451" customFormat="false" ht="15" hidden="false" customHeight="false" outlineLevel="0" collapsed="false">
      <c r="A451" s="19" t="str">
        <f aca="false">IF(OR(H451&lt;&gt;"",I451&lt;&gt;""),ROW()-3,"")</f>
        <v/>
      </c>
      <c r="B451" s="20"/>
      <c r="C451" s="18"/>
      <c r="D451" s="21"/>
      <c r="E451" s="22" t="str">
        <f aca="false">IFERROR(INDEX(Comptes!$B$4:$B$50,MATCH($D451,Comptes!$A$4:$A$50,0)),"")</f>
        <v/>
      </c>
      <c r="F451" s="18"/>
      <c r="G451" s="21"/>
      <c r="H451" s="23"/>
      <c r="I451" s="23"/>
    </row>
    <row r="452" customFormat="false" ht="15" hidden="false" customHeight="false" outlineLevel="0" collapsed="false">
      <c r="A452" s="19" t="str">
        <f aca="false">IF(OR(H452&lt;&gt;"",I452&lt;&gt;""),ROW()-3,"")</f>
        <v/>
      </c>
      <c r="B452" s="20"/>
      <c r="C452" s="18"/>
      <c r="D452" s="21"/>
      <c r="E452" s="22" t="str">
        <f aca="false">IFERROR(INDEX(Comptes!$B$4:$B$50,MATCH($D452,Comptes!$A$4:$A$50,0)),"")</f>
        <v/>
      </c>
      <c r="F452" s="18"/>
      <c r="G452" s="21"/>
      <c r="H452" s="23"/>
      <c r="I452" s="23"/>
    </row>
    <row r="453" customFormat="false" ht="15" hidden="false" customHeight="false" outlineLevel="0" collapsed="false">
      <c r="A453" s="19" t="str">
        <f aca="false">IF(OR(H453&lt;&gt;"",I453&lt;&gt;""),ROW()-3,"")</f>
        <v/>
      </c>
      <c r="B453" s="20"/>
      <c r="C453" s="18"/>
      <c r="D453" s="21"/>
      <c r="E453" s="22" t="str">
        <f aca="false">IFERROR(INDEX(Comptes!$B$4:$B$50,MATCH($D453,Comptes!$A$4:$A$50,0)),"")</f>
        <v/>
      </c>
      <c r="F453" s="18"/>
      <c r="G453" s="21"/>
      <c r="H453" s="23"/>
      <c r="I453" s="23"/>
    </row>
    <row r="454" customFormat="false" ht="15" hidden="false" customHeight="false" outlineLevel="0" collapsed="false">
      <c r="A454" s="19" t="str">
        <f aca="false">IF(OR(H454&lt;&gt;"",I454&lt;&gt;""),ROW()-3,"")</f>
        <v/>
      </c>
      <c r="B454" s="20"/>
      <c r="C454" s="18"/>
      <c r="D454" s="21"/>
      <c r="E454" s="22" t="str">
        <f aca="false">IFERROR(INDEX(Comptes!$B$4:$B$50,MATCH($D454,Comptes!$A$4:$A$50,0)),"")</f>
        <v/>
      </c>
      <c r="F454" s="18"/>
      <c r="G454" s="21"/>
      <c r="H454" s="23"/>
      <c r="I454" s="23"/>
    </row>
    <row r="455" customFormat="false" ht="15" hidden="false" customHeight="false" outlineLevel="0" collapsed="false">
      <c r="A455" s="19" t="str">
        <f aca="false">IF(OR(H455&lt;&gt;"",I455&lt;&gt;""),ROW()-3,"")</f>
        <v/>
      </c>
      <c r="B455" s="20"/>
      <c r="C455" s="18"/>
      <c r="D455" s="21"/>
      <c r="E455" s="22" t="str">
        <f aca="false">IFERROR(INDEX(Comptes!$B$4:$B$50,MATCH($D455,Comptes!$A$4:$A$50,0)),"")</f>
        <v/>
      </c>
      <c r="F455" s="18"/>
      <c r="G455" s="21"/>
      <c r="H455" s="23"/>
      <c r="I455" s="23"/>
    </row>
    <row r="456" customFormat="false" ht="15" hidden="false" customHeight="false" outlineLevel="0" collapsed="false">
      <c r="A456" s="19" t="str">
        <f aca="false">IF(OR(H456&lt;&gt;"",I456&lt;&gt;""),ROW()-3,"")</f>
        <v/>
      </c>
      <c r="B456" s="20"/>
      <c r="C456" s="18"/>
      <c r="D456" s="21"/>
      <c r="E456" s="22" t="str">
        <f aca="false">IFERROR(INDEX(Comptes!$B$4:$B$50,MATCH($D456,Comptes!$A$4:$A$50,0)),"")</f>
        <v/>
      </c>
      <c r="F456" s="18"/>
      <c r="G456" s="21"/>
      <c r="H456" s="23"/>
      <c r="I456" s="23"/>
    </row>
    <row r="457" customFormat="false" ht="15" hidden="false" customHeight="false" outlineLevel="0" collapsed="false">
      <c r="A457" s="19" t="str">
        <f aca="false">IF(OR(H457&lt;&gt;"",I457&lt;&gt;""),ROW()-3,"")</f>
        <v/>
      </c>
      <c r="B457" s="20"/>
      <c r="C457" s="18"/>
      <c r="D457" s="21"/>
      <c r="E457" s="22" t="str">
        <f aca="false">IFERROR(INDEX(Comptes!$B$4:$B$50,MATCH($D457,Comptes!$A$4:$A$50,0)),"")</f>
        <v/>
      </c>
      <c r="F457" s="18"/>
      <c r="G457" s="21"/>
      <c r="H457" s="23"/>
      <c r="I457" s="23"/>
    </row>
    <row r="458" customFormat="false" ht="15" hidden="false" customHeight="false" outlineLevel="0" collapsed="false">
      <c r="A458" s="19" t="str">
        <f aca="false">IF(OR(H458&lt;&gt;"",I458&lt;&gt;""),ROW()-3,"")</f>
        <v/>
      </c>
      <c r="B458" s="20"/>
      <c r="C458" s="18"/>
      <c r="D458" s="21"/>
      <c r="E458" s="22" t="str">
        <f aca="false">IFERROR(INDEX(Comptes!$B$4:$B$50,MATCH($D458,Comptes!$A$4:$A$50,0)),"")</f>
        <v/>
      </c>
      <c r="F458" s="18"/>
      <c r="G458" s="21"/>
      <c r="H458" s="23"/>
      <c r="I458" s="23"/>
    </row>
    <row r="459" customFormat="false" ht="15" hidden="false" customHeight="false" outlineLevel="0" collapsed="false">
      <c r="A459" s="19" t="str">
        <f aca="false">IF(OR(H459&lt;&gt;"",I459&lt;&gt;""),ROW()-3,"")</f>
        <v/>
      </c>
      <c r="B459" s="20"/>
      <c r="C459" s="18"/>
      <c r="D459" s="21"/>
      <c r="E459" s="22" t="str">
        <f aca="false">IFERROR(INDEX(Comptes!$B$4:$B$50,MATCH($D459,Comptes!$A$4:$A$50,0)),"")</f>
        <v/>
      </c>
      <c r="F459" s="18"/>
      <c r="G459" s="21"/>
      <c r="H459" s="23"/>
      <c r="I459" s="23"/>
    </row>
    <row r="460" customFormat="false" ht="15" hidden="false" customHeight="false" outlineLevel="0" collapsed="false">
      <c r="A460" s="19" t="str">
        <f aca="false">IF(OR(H460&lt;&gt;"",I460&lt;&gt;""),ROW()-3,"")</f>
        <v/>
      </c>
      <c r="B460" s="20"/>
      <c r="C460" s="18"/>
      <c r="D460" s="21"/>
      <c r="E460" s="22" t="str">
        <f aca="false">IFERROR(INDEX(Comptes!$B$4:$B$50,MATCH($D460,Comptes!$A$4:$A$50,0)),"")</f>
        <v/>
      </c>
      <c r="F460" s="18"/>
      <c r="G460" s="21"/>
      <c r="H460" s="23"/>
      <c r="I460" s="23"/>
    </row>
    <row r="461" customFormat="false" ht="15" hidden="false" customHeight="false" outlineLevel="0" collapsed="false">
      <c r="A461" s="19" t="str">
        <f aca="false">IF(OR(H461&lt;&gt;"",I461&lt;&gt;""),ROW()-3,"")</f>
        <v/>
      </c>
      <c r="B461" s="20"/>
      <c r="C461" s="18"/>
      <c r="D461" s="21"/>
      <c r="E461" s="22" t="str">
        <f aca="false">IFERROR(INDEX(Comptes!$B$4:$B$50,MATCH($D461,Comptes!$A$4:$A$50,0)),"")</f>
        <v/>
      </c>
      <c r="F461" s="18"/>
      <c r="G461" s="21"/>
      <c r="H461" s="23"/>
      <c r="I461" s="23"/>
    </row>
    <row r="462" customFormat="false" ht="15" hidden="false" customHeight="false" outlineLevel="0" collapsed="false">
      <c r="A462" s="19" t="str">
        <f aca="false">IF(OR(H462&lt;&gt;"",I462&lt;&gt;""),ROW()-3,"")</f>
        <v/>
      </c>
      <c r="B462" s="20"/>
      <c r="C462" s="18"/>
      <c r="D462" s="21"/>
      <c r="E462" s="22" t="str">
        <f aca="false">IFERROR(INDEX(Comptes!$B$4:$B$50,MATCH($D462,Comptes!$A$4:$A$50,0)),"")</f>
        <v/>
      </c>
      <c r="F462" s="18"/>
      <c r="G462" s="21"/>
      <c r="H462" s="23"/>
      <c r="I462" s="23"/>
    </row>
    <row r="463" customFormat="false" ht="15" hidden="false" customHeight="false" outlineLevel="0" collapsed="false">
      <c r="A463" s="19" t="str">
        <f aca="false">IF(OR(H463&lt;&gt;"",I463&lt;&gt;""),ROW()-3,"")</f>
        <v/>
      </c>
      <c r="B463" s="20"/>
      <c r="C463" s="18"/>
      <c r="D463" s="21"/>
      <c r="E463" s="22" t="str">
        <f aca="false">IFERROR(INDEX(Comptes!$B$4:$B$50,MATCH($D463,Comptes!$A$4:$A$50,0)),"")</f>
        <v/>
      </c>
      <c r="F463" s="18"/>
      <c r="G463" s="21"/>
      <c r="H463" s="23"/>
      <c r="I463" s="23"/>
    </row>
    <row r="464" customFormat="false" ht="15" hidden="false" customHeight="false" outlineLevel="0" collapsed="false">
      <c r="A464" s="19" t="str">
        <f aca="false">IF(OR(H464&lt;&gt;"",I464&lt;&gt;""),ROW()-3,"")</f>
        <v/>
      </c>
      <c r="B464" s="20"/>
      <c r="C464" s="18"/>
      <c r="D464" s="21"/>
      <c r="E464" s="22" t="str">
        <f aca="false">IFERROR(INDEX(Comptes!$B$4:$B$50,MATCH($D464,Comptes!$A$4:$A$50,0)),"")</f>
        <v/>
      </c>
      <c r="F464" s="18"/>
      <c r="G464" s="21"/>
      <c r="H464" s="23"/>
      <c r="I464" s="23"/>
    </row>
    <row r="465" customFormat="false" ht="15" hidden="false" customHeight="false" outlineLevel="0" collapsed="false">
      <c r="A465" s="19" t="str">
        <f aca="false">IF(OR(H465&lt;&gt;"",I465&lt;&gt;""),ROW()-3,"")</f>
        <v/>
      </c>
      <c r="B465" s="20"/>
      <c r="C465" s="18"/>
      <c r="D465" s="21"/>
      <c r="E465" s="22" t="str">
        <f aca="false">IFERROR(INDEX(Comptes!$B$4:$B$50,MATCH($D465,Comptes!$A$4:$A$50,0)),"")</f>
        <v/>
      </c>
      <c r="F465" s="18"/>
      <c r="G465" s="21"/>
      <c r="H465" s="23"/>
      <c r="I465" s="23"/>
    </row>
    <row r="466" customFormat="false" ht="15" hidden="false" customHeight="false" outlineLevel="0" collapsed="false">
      <c r="A466" s="19" t="str">
        <f aca="false">IF(OR(H466&lt;&gt;"",I466&lt;&gt;""),ROW()-3,"")</f>
        <v/>
      </c>
      <c r="B466" s="20"/>
      <c r="C466" s="18"/>
      <c r="D466" s="21"/>
      <c r="E466" s="22" t="str">
        <f aca="false">IFERROR(INDEX(Comptes!$B$4:$B$50,MATCH($D466,Comptes!$A$4:$A$50,0)),"")</f>
        <v/>
      </c>
      <c r="F466" s="18"/>
      <c r="G466" s="21"/>
      <c r="H466" s="23"/>
      <c r="I466" s="23"/>
    </row>
    <row r="467" customFormat="false" ht="15" hidden="false" customHeight="false" outlineLevel="0" collapsed="false">
      <c r="A467" s="19" t="str">
        <f aca="false">IF(OR(H467&lt;&gt;"",I467&lt;&gt;""),ROW()-3,"")</f>
        <v/>
      </c>
      <c r="B467" s="20"/>
      <c r="C467" s="18"/>
      <c r="D467" s="21"/>
      <c r="E467" s="22" t="str">
        <f aca="false">IFERROR(INDEX(Comptes!$B$4:$B$50,MATCH($D467,Comptes!$A$4:$A$50,0)),"")</f>
        <v/>
      </c>
      <c r="F467" s="18"/>
      <c r="G467" s="21"/>
      <c r="H467" s="23"/>
      <c r="I467" s="23"/>
    </row>
    <row r="468" customFormat="false" ht="15" hidden="false" customHeight="false" outlineLevel="0" collapsed="false">
      <c r="A468" s="19" t="str">
        <f aca="false">IF(OR(H468&lt;&gt;"",I468&lt;&gt;""),ROW()-3,"")</f>
        <v/>
      </c>
      <c r="B468" s="20"/>
      <c r="C468" s="18"/>
      <c r="D468" s="21"/>
      <c r="E468" s="22" t="str">
        <f aca="false">IFERROR(INDEX(Comptes!$B$4:$B$50,MATCH($D468,Comptes!$A$4:$A$50,0)),"")</f>
        <v/>
      </c>
      <c r="F468" s="18"/>
      <c r="G468" s="21"/>
      <c r="H468" s="23"/>
      <c r="I468" s="23"/>
    </row>
    <row r="469" customFormat="false" ht="15" hidden="false" customHeight="false" outlineLevel="0" collapsed="false">
      <c r="A469" s="19" t="str">
        <f aca="false">IF(OR(H469&lt;&gt;"",I469&lt;&gt;""),ROW()-3,"")</f>
        <v/>
      </c>
      <c r="B469" s="20"/>
      <c r="C469" s="18"/>
      <c r="D469" s="21"/>
      <c r="E469" s="22" t="str">
        <f aca="false">IFERROR(INDEX(Comptes!$B$4:$B$50,MATCH($D469,Comptes!$A$4:$A$50,0)),"")</f>
        <v/>
      </c>
      <c r="F469" s="18"/>
      <c r="G469" s="21"/>
      <c r="H469" s="23"/>
      <c r="I469" s="23"/>
    </row>
    <row r="470" customFormat="false" ht="15" hidden="false" customHeight="false" outlineLevel="0" collapsed="false">
      <c r="A470" s="19" t="str">
        <f aca="false">IF(OR(H470&lt;&gt;"",I470&lt;&gt;""),ROW()-3,"")</f>
        <v/>
      </c>
      <c r="B470" s="20"/>
      <c r="C470" s="18"/>
      <c r="D470" s="21"/>
      <c r="E470" s="22" t="str">
        <f aca="false">IFERROR(INDEX(Comptes!$B$4:$B$50,MATCH($D470,Comptes!$A$4:$A$50,0)),"")</f>
        <v/>
      </c>
      <c r="F470" s="18"/>
      <c r="G470" s="21"/>
      <c r="H470" s="23"/>
      <c r="I470" s="23"/>
    </row>
    <row r="471" customFormat="false" ht="15" hidden="false" customHeight="false" outlineLevel="0" collapsed="false">
      <c r="A471" s="19" t="str">
        <f aca="false">IF(OR(H471&lt;&gt;"",I471&lt;&gt;""),ROW()-3,"")</f>
        <v/>
      </c>
      <c r="B471" s="20"/>
      <c r="C471" s="18"/>
      <c r="D471" s="21"/>
      <c r="E471" s="22" t="str">
        <f aca="false">IFERROR(INDEX(Comptes!$B$4:$B$50,MATCH($D471,Comptes!$A$4:$A$50,0)),"")</f>
        <v/>
      </c>
      <c r="F471" s="18"/>
      <c r="G471" s="21"/>
      <c r="H471" s="23"/>
      <c r="I471" s="23"/>
    </row>
    <row r="472" customFormat="false" ht="15" hidden="false" customHeight="false" outlineLevel="0" collapsed="false">
      <c r="A472" s="19" t="str">
        <f aca="false">IF(OR(H472&lt;&gt;"",I472&lt;&gt;""),ROW()-3,"")</f>
        <v/>
      </c>
      <c r="B472" s="20"/>
      <c r="C472" s="18"/>
      <c r="D472" s="21"/>
      <c r="E472" s="22" t="str">
        <f aca="false">IFERROR(INDEX(Comptes!$B$4:$B$50,MATCH($D472,Comptes!$A$4:$A$50,0)),"")</f>
        <v/>
      </c>
      <c r="F472" s="18"/>
      <c r="G472" s="21"/>
      <c r="H472" s="23"/>
      <c r="I472" s="23"/>
    </row>
    <row r="473" customFormat="false" ht="15" hidden="false" customHeight="false" outlineLevel="0" collapsed="false">
      <c r="A473" s="19" t="str">
        <f aca="false">IF(OR(H473&lt;&gt;"",I473&lt;&gt;""),ROW()-3,"")</f>
        <v/>
      </c>
      <c r="B473" s="20"/>
      <c r="C473" s="18"/>
      <c r="D473" s="21"/>
      <c r="E473" s="22" t="str">
        <f aca="false">IFERROR(INDEX(Comptes!$B$4:$B$50,MATCH($D473,Comptes!$A$4:$A$50,0)),"")</f>
        <v/>
      </c>
      <c r="F473" s="18"/>
      <c r="G473" s="21"/>
      <c r="H473" s="23"/>
      <c r="I473" s="23"/>
    </row>
    <row r="474" customFormat="false" ht="15" hidden="false" customHeight="false" outlineLevel="0" collapsed="false">
      <c r="A474" s="19" t="str">
        <f aca="false">IF(OR(H474&lt;&gt;"",I474&lt;&gt;""),ROW()-3,"")</f>
        <v/>
      </c>
      <c r="B474" s="20"/>
      <c r="C474" s="18"/>
      <c r="D474" s="21"/>
      <c r="E474" s="22" t="str">
        <f aca="false">IFERROR(INDEX(Comptes!$B$4:$B$50,MATCH($D474,Comptes!$A$4:$A$50,0)),"")</f>
        <v/>
      </c>
      <c r="F474" s="18"/>
      <c r="G474" s="21"/>
      <c r="H474" s="23"/>
      <c r="I474" s="23"/>
    </row>
    <row r="475" customFormat="false" ht="15" hidden="false" customHeight="false" outlineLevel="0" collapsed="false">
      <c r="A475" s="19" t="str">
        <f aca="false">IF(OR(H475&lt;&gt;"",I475&lt;&gt;""),ROW()-3,"")</f>
        <v/>
      </c>
      <c r="B475" s="20"/>
      <c r="C475" s="18"/>
      <c r="D475" s="21"/>
      <c r="E475" s="22" t="str">
        <f aca="false">IFERROR(INDEX(Comptes!$B$4:$B$50,MATCH($D475,Comptes!$A$4:$A$50,0)),"")</f>
        <v/>
      </c>
      <c r="F475" s="18"/>
      <c r="G475" s="21"/>
      <c r="H475" s="23"/>
      <c r="I475" s="23"/>
    </row>
    <row r="476" customFormat="false" ht="15" hidden="false" customHeight="false" outlineLevel="0" collapsed="false">
      <c r="A476" s="19" t="str">
        <f aca="false">IF(OR(H476&lt;&gt;"",I476&lt;&gt;""),ROW()-3,"")</f>
        <v/>
      </c>
      <c r="B476" s="20"/>
      <c r="C476" s="18"/>
      <c r="D476" s="21"/>
      <c r="E476" s="22" t="str">
        <f aca="false">IFERROR(INDEX(Comptes!$B$4:$B$50,MATCH($D476,Comptes!$A$4:$A$50,0)),"")</f>
        <v/>
      </c>
      <c r="F476" s="18"/>
      <c r="G476" s="21"/>
      <c r="H476" s="23"/>
      <c r="I476" s="23"/>
    </row>
    <row r="477" customFormat="false" ht="15" hidden="false" customHeight="false" outlineLevel="0" collapsed="false">
      <c r="A477" s="19" t="str">
        <f aca="false">IF(OR(H477&lt;&gt;"",I477&lt;&gt;""),ROW()-3,"")</f>
        <v/>
      </c>
      <c r="B477" s="20"/>
      <c r="C477" s="18"/>
      <c r="D477" s="21"/>
      <c r="E477" s="22" t="str">
        <f aca="false">IFERROR(INDEX(Comptes!$B$4:$B$50,MATCH($D477,Comptes!$A$4:$A$50,0)),"")</f>
        <v/>
      </c>
      <c r="F477" s="18"/>
      <c r="G477" s="21"/>
      <c r="H477" s="23"/>
      <c r="I477" s="23"/>
    </row>
    <row r="478" customFormat="false" ht="15" hidden="false" customHeight="false" outlineLevel="0" collapsed="false">
      <c r="A478" s="19" t="str">
        <f aca="false">IF(OR(H478&lt;&gt;"",I478&lt;&gt;""),ROW()-3,"")</f>
        <v/>
      </c>
      <c r="B478" s="20"/>
      <c r="C478" s="18"/>
      <c r="D478" s="21"/>
      <c r="E478" s="22" t="str">
        <f aca="false">IFERROR(INDEX(Comptes!$B$4:$B$50,MATCH($D478,Comptes!$A$4:$A$50,0)),"")</f>
        <v/>
      </c>
      <c r="F478" s="18"/>
      <c r="G478" s="21"/>
      <c r="H478" s="23"/>
      <c r="I478" s="23"/>
    </row>
    <row r="479" customFormat="false" ht="15" hidden="false" customHeight="false" outlineLevel="0" collapsed="false">
      <c r="A479" s="19" t="str">
        <f aca="false">IF(OR(H479&lt;&gt;"",I479&lt;&gt;""),ROW()-3,"")</f>
        <v/>
      </c>
      <c r="B479" s="20"/>
      <c r="C479" s="18"/>
      <c r="D479" s="21"/>
      <c r="E479" s="22" t="str">
        <f aca="false">IFERROR(INDEX(Comptes!$B$4:$B$50,MATCH($D479,Comptes!$A$4:$A$50,0)),"")</f>
        <v/>
      </c>
      <c r="F479" s="18"/>
      <c r="G479" s="21"/>
      <c r="H479" s="23"/>
      <c r="I479" s="23"/>
    </row>
    <row r="480" customFormat="false" ht="15" hidden="false" customHeight="false" outlineLevel="0" collapsed="false">
      <c r="A480" s="19" t="str">
        <f aca="false">IF(OR(H480&lt;&gt;"",I480&lt;&gt;""),ROW()-3,"")</f>
        <v/>
      </c>
      <c r="B480" s="20"/>
      <c r="C480" s="18"/>
      <c r="D480" s="21"/>
      <c r="E480" s="22" t="str">
        <f aca="false">IFERROR(INDEX(Comptes!$B$4:$B$50,MATCH($D480,Comptes!$A$4:$A$50,0)),"")</f>
        <v/>
      </c>
      <c r="F480" s="18"/>
      <c r="G480" s="21"/>
      <c r="H480" s="23"/>
      <c r="I480" s="23"/>
    </row>
    <row r="481" customFormat="false" ht="15" hidden="false" customHeight="false" outlineLevel="0" collapsed="false">
      <c r="A481" s="19" t="str">
        <f aca="false">IF(OR(H481&lt;&gt;"",I481&lt;&gt;""),ROW()-3,"")</f>
        <v/>
      </c>
      <c r="B481" s="20"/>
      <c r="C481" s="18"/>
      <c r="D481" s="21"/>
      <c r="E481" s="22" t="str">
        <f aca="false">IFERROR(INDEX(Comptes!$B$4:$B$50,MATCH($D481,Comptes!$A$4:$A$50,0)),"")</f>
        <v/>
      </c>
      <c r="F481" s="18"/>
      <c r="G481" s="21"/>
      <c r="H481" s="23"/>
      <c r="I481" s="23"/>
    </row>
    <row r="482" customFormat="false" ht="15" hidden="false" customHeight="false" outlineLevel="0" collapsed="false">
      <c r="A482" s="19" t="str">
        <f aca="false">IF(OR(H482&lt;&gt;"",I482&lt;&gt;""),ROW()-3,"")</f>
        <v/>
      </c>
      <c r="B482" s="20"/>
      <c r="C482" s="18"/>
      <c r="D482" s="21"/>
      <c r="E482" s="22" t="str">
        <f aca="false">IFERROR(INDEX(Comptes!$B$4:$B$50,MATCH($D482,Comptes!$A$4:$A$50,0)),"")</f>
        <v/>
      </c>
      <c r="F482" s="18"/>
      <c r="G482" s="21"/>
      <c r="H482" s="23"/>
      <c r="I482" s="23"/>
    </row>
    <row r="483" customFormat="false" ht="15" hidden="false" customHeight="false" outlineLevel="0" collapsed="false">
      <c r="A483" s="19" t="str">
        <f aca="false">IF(OR(H483&lt;&gt;"",I483&lt;&gt;""),ROW()-3,"")</f>
        <v/>
      </c>
      <c r="B483" s="20"/>
      <c r="C483" s="18"/>
      <c r="D483" s="21"/>
      <c r="E483" s="22" t="str">
        <f aca="false">IFERROR(INDEX(Comptes!$B$4:$B$50,MATCH($D483,Comptes!$A$4:$A$50,0)),"")</f>
        <v/>
      </c>
      <c r="F483" s="18"/>
      <c r="G483" s="21"/>
      <c r="H483" s="23"/>
      <c r="I483" s="23"/>
    </row>
    <row r="484" customFormat="false" ht="15" hidden="false" customHeight="false" outlineLevel="0" collapsed="false">
      <c r="A484" s="19" t="str">
        <f aca="false">IF(OR(H484&lt;&gt;"",I484&lt;&gt;""),ROW()-3,"")</f>
        <v/>
      </c>
      <c r="B484" s="20"/>
      <c r="C484" s="18"/>
      <c r="D484" s="21"/>
      <c r="E484" s="22" t="str">
        <f aca="false">IFERROR(INDEX(Comptes!$B$4:$B$50,MATCH($D484,Comptes!$A$4:$A$50,0)),"")</f>
        <v/>
      </c>
      <c r="F484" s="18"/>
      <c r="G484" s="21"/>
      <c r="H484" s="23"/>
      <c r="I484" s="23"/>
    </row>
    <row r="485" customFormat="false" ht="15" hidden="false" customHeight="false" outlineLevel="0" collapsed="false">
      <c r="A485" s="19" t="str">
        <f aca="false">IF(OR(H485&lt;&gt;"",I485&lt;&gt;""),ROW()-3,"")</f>
        <v/>
      </c>
      <c r="B485" s="20"/>
      <c r="C485" s="18"/>
      <c r="D485" s="21"/>
      <c r="E485" s="22" t="str">
        <f aca="false">IFERROR(INDEX(Comptes!$B$4:$B$50,MATCH($D485,Comptes!$A$4:$A$50,0)),"")</f>
        <v/>
      </c>
      <c r="F485" s="18"/>
      <c r="G485" s="21"/>
      <c r="H485" s="23"/>
      <c r="I485" s="23"/>
    </row>
    <row r="486" customFormat="false" ht="15" hidden="false" customHeight="false" outlineLevel="0" collapsed="false">
      <c r="A486" s="19" t="str">
        <f aca="false">IF(OR(H486&lt;&gt;"",I486&lt;&gt;""),ROW()-3,"")</f>
        <v/>
      </c>
      <c r="B486" s="20"/>
      <c r="C486" s="18"/>
      <c r="D486" s="21"/>
      <c r="E486" s="22" t="str">
        <f aca="false">IFERROR(INDEX(Comptes!$B$4:$B$50,MATCH($D486,Comptes!$A$4:$A$50,0)),"")</f>
        <v/>
      </c>
      <c r="F486" s="18"/>
      <c r="G486" s="21"/>
      <c r="H486" s="23"/>
      <c r="I486" s="23"/>
    </row>
    <row r="487" customFormat="false" ht="15" hidden="false" customHeight="false" outlineLevel="0" collapsed="false">
      <c r="A487" s="19" t="str">
        <f aca="false">IF(OR(H487&lt;&gt;"",I487&lt;&gt;""),ROW()-3,"")</f>
        <v/>
      </c>
      <c r="B487" s="20"/>
      <c r="C487" s="18"/>
      <c r="D487" s="21"/>
      <c r="E487" s="22" t="str">
        <f aca="false">IFERROR(INDEX(Comptes!$B$4:$B$50,MATCH($D487,Comptes!$A$4:$A$50,0)),"")</f>
        <v/>
      </c>
      <c r="F487" s="18"/>
      <c r="G487" s="21"/>
      <c r="H487" s="23"/>
      <c r="I487" s="23"/>
    </row>
    <row r="488" customFormat="false" ht="15" hidden="false" customHeight="false" outlineLevel="0" collapsed="false">
      <c r="A488" s="19" t="str">
        <f aca="false">IF(OR(H488&lt;&gt;"",I488&lt;&gt;""),ROW()-3,"")</f>
        <v/>
      </c>
      <c r="B488" s="20"/>
      <c r="C488" s="18"/>
      <c r="D488" s="21"/>
      <c r="E488" s="22" t="str">
        <f aca="false">IFERROR(INDEX(Comptes!$B$4:$B$50,MATCH($D488,Comptes!$A$4:$A$50,0)),"")</f>
        <v/>
      </c>
      <c r="F488" s="18"/>
      <c r="G488" s="21"/>
      <c r="H488" s="23"/>
      <c r="I488" s="23"/>
    </row>
    <row r="489" customFormat="false" ht="15" hidden="false" customHeight="false" outlineLevel="0" collapsed="false">
      <c r="A489" s="19" t="str">
        <f aca="false">IF(OR(H489&lt;&gt;"",I489&lt;&gt;""),ROW()-3,"")</f>
        <v/>
      </c>
      <c r="B489" s="20"/>
      <c r="C489" s="18"/>
      <c r="D489" s="21"/>
      <c r="E489" s="22" t="str">
        <f aca="false">IFERROR(INDEX(Comptes!$B$4:$B$50,MATCH($D489,Comptes!$A$4:$A$50,0)),"")</f>
        <v/>
      </c>
      <c r="F489" s="18"/>
      <c r="G489" s="21"/>
      <c r="H489" s="23"/>
      <c r="I489" s="23"/>
    </row>
    <row r="490" customFormat="false" ht="15" hidden="false" customHeight="false" outlineLevel="0" collapsed="false">
      <c r="A490" s="19" t="str">
        <f aca="false">IF(OR(H490&lt;&gt;"",I490&lt;&gt;""),ROW()-3,"")</f>
        <v/>
      </c>
      <c r="B490" s="20"/>
      <c r="C490" s="18"/>
      <c r="D490" s="21"/>
      <c r="E490" s="22" t="str">
        <f aca="false">IFERROR(INDEX(Comptes!$B$4:$B$50,MATCH($D490,Comptes!$A$4:$A$50,0)),"")</f>
        <v/>
      </c>
      <c r="F490" s="18"/>
      <c r="G490" s="21"/>
      <c r="H490" s="23"/>
      <c r="I490" s="23"/>
    </row>
    <row r="491" customFormat="false" ht="15" hidden="false" customHeight="false" outlineLevel="0" collapsed="false">
      <c r="A491" s="19" t="str">
        <f aca="false">IF(OR(H491&lt;&gt;"",I491&lt;&gt;""),ROW()-3,"")</f>
        <v/>
      </c>
      <c r="B491" s="20"/>
      <c r="C491" s="18"/>
      <c r="D491" s="21"/>
      <c r="E491" s="22" t="str">
        <f aca="false">IFERROR(INDEX(Comptes!$B$4:$B$50,MATCH($D491,Comptes!$A$4:$A$50,0)),"")</f>
        <v/>
      </c>
      <c r="F491" s="18"/>
      <c r="G491" s="21"/>
      <c r="H491" s="23"/>
      <c r="I491" s="23"/>
    </row>
    <row r="492" customFormat="false" ht="15" hidden="false" customHeight="false" outlineLevel="0" collapsed="false">
      <c r="A492" s="19" t="str">
        <f aca="false">IF(OR(H492&lt;&gt;"",I492&lt;&gt;""),ROW()-3,"")</f>
        <v/>
      </c>
      <c r="B492" s="20"/>
      <c r="C492" s="18"/>
      <c r="D492" s="21"/>
      <c r="E492" s="22" t="str">
        <f aca="false">IFERROR(INDEX(Comptes!$B$4:$B$50,MATCH($D492,Comptes!$A$4:$A$50,0)),"")</f>
        <v/>
      </c>
      <c r="F492" s="18"/>
      <c r="G492" s="21"/>
      <c r="H492" s="23"/>
      <c r="I492" s="23"/>
    </row>
    <row r="493" customFormat="false" ht="15" hidden="false" customHeight="false" outlineLevel="0" collapsed="false">
      <c r="A493" s="19" t="str">
        <f aca="false">IF(OR(H493&lt;&gt;"",I493&lt;&gt;""),ROW()-3,"")</f>
        <v/>
      </c>
      <c r="B493" s="20"/>
      <c r="C493" s="18"/>
      <c r="D493" s="21"/>
      <c r="E493" s="22" t="str">
        <f aca="false">IFERROR(INDEX(Comptes!$B$4:$B$50,MATCH($D493,Comptes!$A$4:$A$50,0)),"")</f>
        <v/>
      </c>
      <c r="F493" s="18"/>
      <c r="G493" s="21"/>
      <c r="H493" s="23"/>
      <c r="I493" s="23"/>
    </row>
    <row r="494" customFormat="false" ht="15" hidden="false" customHeight="false" outlineLevel="0" collapsed="false">
      <c r="A494" s="19" t="str">
        <f aca="false">IF(OR(H494&lt;&gt;"",I494&lt;&gt;""),ROW()-3,"")</f>
        <v/>
      </c>
      <c r="B494" s="20"/>
      <c r="C494" s="18"/>
      <c r="D494" s="21"/>
      <c r="E494" s="22" t="str">
        <f aca="false">IFERROR(INDEX(Comptes!$B$4:$B$50,MATCH($D494,Comptes!$A$4:$A$50,0)),"")</f>
        <v/>
      </c>
      <c r="F494" s="18"/>
      <c r="G494" s="21"/>
      <c r="H494" s="23"/>
      <c r="I494" s="23"/>
    </row>
    <row r="495" customFormat="false" ht="15" hidden="false" customHeight="false" outlineLevel="0" collapsed="false">
      <c r="A495" s="19" t="str">
        <f aca="false">IF(OR(H495&lt;&gt;"",I495&lt;&gt;""),ROW()-3,"")</f>
        <v/>
      </c>
      <c r="B495" s="20"/>
      <c r="C495" s="18"/>
      <c r="D495" s="21"/>
      <c r="E495" s="22" t="str">
        <f aca="false">IFERROR(INDEX(Comptes!$B$4:$B$50,MATCH($D495,Comptes!$A$4:$A$50,0)),"")</f>
        <v/>
      </c>
      <c r="F495" s="18"/>
      <c r="G495" s="21"/>
      <c r="H495" s="23"/>
      <c r="I495" s="23"/>
    </row>
    <row r="496" customFormat="false" ht="15" hidden="false" customHeight="false" outlineLevel="0" collapsed="false">
      <c r="A496" s="19" t="str">
        <f aca="false">IF(OR(H496&lt;&gt;"",I496&lt;&gt;""),ROW()-3,"")</f>
        <v/>
      </c>
      <c r="B496" s="20"/>
      <c r="C496" s="18"/>
      <c r="D496" s="21"/>
      <c r="E496" s="22" t="str">
        <f aca="false">IFERROR(INDEX(Comptes!$B$4:$B$50,MATCH($D496,Comptes!$A$4:$A$50,0)),"")</f>
        <v/>
      </c>
      <c r="F496" s="18"/>
      <c r="G496" s="21"/>
      <c r="H496" s="23"/>
      <c r="I496" s="23"/>
    </row>
    <row r="497" customFormat="false" ht="15" hidden="false" customHeight="false" outlineLevel="0" collapsed="false">
      <c r="A497" s="19" t="str">
        <f aca="false">IF(OR(H497&lt;&gt;"",I497&lt;&gt;""),ROW()-3,"")</f>
        <v/>
      </c>
      <c r="B497" s="20"/>
      <c r="C497" s="18"/>
      <c r="D497" s="21"/>
      <c r="E497" s="22" t="str">
        <f aca="false">IFERROR(INDEX(Comptes!$B$4:$B$50,MATCH($D497,Comptes!$A$4:$A$50,0)),"")</f>
        <v/>
      </c>
      <c r="F497" s="18"/>
      <c r="G497" s="21"/>
      <c r="H497" s="23"/>
      <c r="I497" s="23"/>
    </row>
    <row r="498" customFormat="false" ht="15" hidden="false" customHeight="false" outlineLevel="0" collapsed="false">
      <c r="A498" s="19" t="str">
        <f aca="false">IF(OR(H498&lt;&gt;"",I498&lt;&gt;""),ROW()-3,"")</f>
        <v/>
      </c>
      <c r="B498" s="20"/>
      <c r="C498" s="18"/>
      <c r="D498" s="21"/>
      <c r="E498" s="22" t="str">
        <f aca="false">IFERROR(INDEX(Comptes!$B$4:$B$50,MATCH($D498,Comptes!$A$4:$A$50,0)),"")</f>
        <v/>
      </c>
      <c r="F498" s="18"/>
      <c r="G498" s="21"/>
      <c r="H498" s="23"/>
      <c r="I498" s="23"/>
    </row>
    <row r="499" customFormat="false" ht="15" hidden="false" customHeight="false" outlineLevel="0" collapsed="false">
      <c r="A499" s="19" t="str">
        <f aca="false">IF(OR(H499&lt;&gt;"",I499&lt;&gt;""),ROW()-3,"")</f>
        <v/>
      </c>
      <c r="B499" s="20"/>
      <c r="C499" s="18"/>
      <c r="D499" s="21"/>
      <c r="E499" s="22" t="str">
        <f aca="false">IFERROR(INDEX(Comptes!$B$4:$B$50,MATCH($D499,Comptes!$A$4:$A$50,0)),"")</f>
        <v/>
      </c>
      <c r="F499" s="18"/>
      <c r="G499" s="21"/>
      <c r="H499" s="23"/>
      <c r="I499" s="23"/>
    </row>
    <row r="500" customFormat="false" ht="15" hidden="false" customHeight="false" outlineLevel="0" collapsed="false">
      <c r="A500" s="19" t="str">
        <f aca="false">IF(OR(H500&lt;&gt;"",I500&lt;&gt;""),ROW()-3,"")</f>
        <v/>
      </c>
      <c r="B500" s="20"/>
      <c r="C500" s="18"/>
      <c r="D500" s="21"/>
      <c r="E500" s="22" t="str">
        <f aca="false">IFERROR(INDEX(Comptes!$B$4:$B$50,MATCH($D500,Comptes!$A$4:$A$50,0)),"")</f>
        <v/>
      </c>
      <c r="F500" s="18"/>
      <c r="G500" s="21"/>
      <c r="H500" s="23"/>
      <c r="I500" s="23"/>
    </row>
    <row r="501" customFormat="false" ht="15" hidden="false" customHeight="false" outlineLevel="0" collapsed="false">
      <c r="A501" s="19" t="str">
        <f aca="false">IF(OR(H501&lt;&gt;"",I501&lt;&gt;""),ROW()-3,"")</f>
        <v/>
      </c>
      <c r="B501" s="20"/>
      <c r="C501" s="18"/>
      <c r="D501" s="21"/>
      <c r="E501" s="22" t="str">
        <f aca="false">IFERROR(INDEX(Comptes!$B$4:$B$50,MATCH($D501,Comptes!$A$4:$A$50,0)),"")</f>
        <v/>
      </c>
      <c r="F501" s="18"/>
      <c r="G501" s="21"/>
      <c r="H501" s="23"/>
      <c r="I501" s="23"/>
    </row>
    <row r="502" customFormat="false" ht="15" hidden="false" customHeight="false" outlineLevel="0" collapsed="false">
      <c r="A502" s="19" t="str">
        <f aca="false">IF(OR(H502&lt;&gt;"",I502&lt;&gt;""),ROW()-3,"")</f>
        <v/>
      </c>
      <c r="B502" s="20"/>
      <c r="C502" s="18"/>
      <c r="D502" s="21"/>
      <c r="E502" s="22" t="str">
        <f aca="false">IFERROR(INDEX(Comptes!$B$4:$B$50,MATCH($D502,Comptes!$A$4:$A$50,0)),"")</f>
        <v/>
      </c>
      <c r="F502" s="18"/>
      <c r="G502" s="21"/>
      <c r="H502" s="23"/>
      <c r="I502" s="23"/>
    </row>
    <row r="503" customFormat="false" ht="15" hidden="false" customHeight="false" outlineLevel="0" collapsed="false">
      <c r="A503" s="19" t="str">
        <f aca="false">IF(OR(H503&lt;&gt;"",I503&lt;&gt;""),ROW()-3,"")</f>
        <v/>
      </c>
      <c r="B503" s="20"/>
      <c r="C503" s="18"/>
      <c r="D503" s="21"/>
      <c r="E503" s="22" t="str">
        <f aca="false">IFERROR(INDEX(Comptes!$B$4:$B$50,MATCH($D503,Comptes!$A$4:$A$50,0)),"")</f>
        <v/>
      </c>
      <c r="F503" s="18"/>
      <c r="G503" s="21"/>
      <c r="H503" s="23"/>
      <c r="I503" s="23"/>
    </row>
    <row r="504" customFormat="false" ht="15" hidden="false" customHeight="false" outlineLevel="0" collapsed="false">
      <c r="F504" s="24" t="s">
        <v>240</v>
      </c>
      <c r="G504" s="24"/>
      <c r="H504" s="25" t="n">
        <f aca="false">SUM(H4:H503)</f>
        <v>337500</v>
      </c>
      <c r="I504" s="25" t="n">
        <f aca="false">SUM(I4:I503)</f>
        <v>337500</v>
      </c>
    </row>
    <row r="505" customFormat="false" ht="15" hidden="false" customHeight="false" outlineLevel="0" collapsed="false">
      <c r="A505" s="26" t="str">
        <f aca="false">IF(ROUND(H504-I504,2)=0,"Journal equilibre — الدفتر متوازن","DESEQUILIBRE de "&amp;TEXT(ROUND(H504-I504,2),"#,##0.00")&amp;" DA — اختلال")</f>
        <v>Journal equilibre — الدفتر متوازن</v>
      </c>
      <c r="B505" s="26"/>
      <c r="C505" s="26"/>
      <c r="D505" s="26"/>
      <c r="E505" s="26"/>
    </row>
  </sheetData>
  <mergeCells count="3">
    <mergeCell ref="A1:I1"/>
    <mergeCell ref="A2:I2"/>
    <mergeCell ref="A505:E505"/>
  </mergeCells>
  <dataValidations count="2">
    <dataValidation allowBlank="true" errorStyle="stop" operator="between" showDropDown="false" showErrorMessage="false" showInputMessage="false" sqref="D4:D503" type="list">
      <formula1>Comptes!$A$4:$A$50</formula1>
      <formula2>0</formula2>
    </dataValidation>
    <dataValidation allowBlank="true" errorStyle="stop" operator="between" showDropDown="false" showErrorMessage="false" showInputMessage="false" sqref="G4:G503" type="list">
      <formula1>Centres!$A$4:$A$18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44"/>
    <col collapsed="false" customWidth="true" hidden="false" outlineLevel="0" max="4" min="4" style="0" width="10"/>
    <col collapsed="false" customWidth="true" hidden="false" outlineLevel="0" max="6" min="5" style="0" width="15"/>
    <col collapsed="false" customWidth="true" hidden="false" outlineLevel="0" max="7" min="7" style="0" width="18"/>
    <col collapsed="false" customWidth="true" hidden="true" outlineLevel="0" max="10" min="10" style="0" width="13"/>
  </cols>
  <sheetData>
    <row r="1" customFormat="false" ht="30" hidden="false" customHeight="true" outlineLevel="0" collapsed="false">
      <c r="A1" s="1" t="s">
        <v>241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242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27" t="s">
        <v>243</v>
      </c>
      <c r="B3" s="28" t="s">
        <v>108</v>
      </c>
      <c r="C3" s="29" t="str">
        <f aca="false">IFERROR(INDEX(Comptes!$B$4:$B$50,MATCH($B$3,Comptes!$A$4:$A$50,0)),"compte inconnu")</f>
        <v>Banque</v>
      </c>
      <c r="D3" s="29"/>
      <c r="E3" s="29"/>
      <c r="F3" s="29"/>
      <c r="G3" s="29"/>
    </row>
    <row r="5" customFormat="false" ht="30" hidden="false" customHeight="true" outlineLevel="0" collapsed="false">
      <c r="A5" s="11" t="s">
        <v>244</v>
      </c>
      <c r="B5" s="11" t="s">
        <v>245</v>
      </c>
      <c r="C5" s="11" t="s">
        <v>246</v>
      </c>
      <c r="D5" s="11" t="s">
        <v>247</v>
      </c>
      <c r="E5" s="11" t="s">
        <v>248</v>
      </c>
      <c r="F5" s="11" t="s">
        <v>249</v>
      </c>
      <c r="G5" s="11" t="s">
        <v>250</v>
      </c>
      <c r="J5" s="30" t="s">
        <v>251</v>
      </c>
    </row>
    <row r="6" customFormat="false" ht="15" hidden="false" customHeight="false" outlineLevel="0" collapsed="false">
      <c r="A6" s="31" t="str">
        <f aca="false">IFERROR(INDEX(Journal!$B$4:$B$503,MATCH(1,$J$6:$J$505,0)),"")</f>
        <v>2026-01-12</v>
      </c>
      <c r="B6" s="13" t="str">
        <f aca="false">IFERROR(INDEX(Journal!$C$4:$C$503,MATCH(1,$J$6:$J$505,0)),"")</f>
        <v>BQ-001</v>
      </c>
      <c r="C6" s="13" t="str">
        <f aca="false">IFERROR(INDEX(Journal!$F$4:$F$503,MATCH(1,$J$6:$J$505,0)),"")</f>
        <v>Encaissement facture 2026-001</v>
      </c>
      <c r="D6" s="12" t="str">
        <f aca="false">IFERROR(INDEX(Journal!$G$4:$G$503,MATCH(1,$J$6:$J$505,0)),"")</f>
        <v>GEN</v>
      </c>
      <c r="E6" s="32" t="n">
        <f aca="false">IFERROR(INDEX(Journal!$H$4:$H$503,MATCH(1,$J$6:$J$505,0)),"")</f>
        <v>119000</v>
      </c>
      <c r="F6" s="32" t="n">
        <f aca="false">IFERROR(INDEX(Journal!$I$4:$I$503,MATCH(1,$J$6:$J$505,0)),"")</f>
        <v>0</v>
      </c>
      <c r="G6" s="33" t="n">
        <f aca="false">IF(A6="","",0+N(E6)-N(F6))</f>
        <v>119000</v>
      </c>
      <c r="J6" s="34" t="n">
        <f aca="false">IF(Journal!$D4=$B$3,0+1,0)</f>
        <v>0</v>
      </c>
    </row>
    <row r="7" customFormat="false" ht="15" hidden="false" customHeight="false" outlineLevel="0" collapsed="false">
      <c r="A7" s="31" t="str">
        <f aca="false">IFERROR(INDEX(Journal!$B$4:$B$503,MATCH(2,$J$6:$J$505,0)),"")</f>
        <v/>
      </c>
      <c r="B7" s="13" t="str">
        <f aca="false">IFERROR(INDEX(Journal!$C$4:$C$503,MATCH(2,$J$6:$J$505,0)),"")</f>
        <v/>
      </c>
      <c r="C7" s="13" t="str">
        <f aca="false">IFERROR(INDEX(Journal!$F$4:$F$503,MATCH(2,$J$6:$J$505,0)),"")</f>
        <v/>
      </c>
      <c r="D7" s="12" t="str">
        <f aca="false">IFERROR(INDEX(Journal!$G$4:$G$503,MATCH(2,$J$6:$J$505,0)),"")</f>
        <v/>
      </c>
      <c r="E7" s="32" t="str">
        <f aca="false">IFERROR(INDEX(Journal!$H$4:$H$503,MATCH(2,$J$6:$J$505,0)),"")</f>
        <v/>
      </c>
      <c r="F7" s="32" t="str">
        <f aca="false">IFERROR(INDEX(Journal!$I$4:$I$503,MATCH(2,$J$6:$J$505,0)),"")</f>
        <v/>
      </c>
      <c r="G7" s="33" t="str">
        <f aca="false">IF(A7="","",G6+N(E7)-N(F7))</f>
        <v/>
      </c>
      <c r="J7" s="34" t="n">
        <f aca="false">IF(Journal!$D5=$B$3,J6+1,J6)</f>
        <v>0</v>
      </c>
    </row>
    <row r="8" customFormat="false" ht="15" hidden="false" customHeight="false" outlineLevel="0" collapsed="false">
      <c r="A8" s="31" t="str">
        <f aca="false">IFERROR(INDEX(Journal!$B$4:$B$503,MATCH(3,$J$6:$J$505,0)),"")</f>
        <v/>
      </c>
      <c r="B8" s="13" t="str">
        <f aca="false">IFERROR(INDEX(Journal!$C$4:$C$503,MATCH(3,$J$6:$J$505,0)),"")</f>
        <v/>
      </c>
      <c r="C8" s="13" t="str">
        <f aca="false">IFERROR(INDEX(Journal!$F$4:$F$503,MATCH(3,$J$6:$J$505,0)),"")</f>
        <v/>
      </c>
      <c r="D8" s="12" t="str">
        <f aca="false">IFERROR(INDEX(Journal!$G$4:$G$503,MATCH(3,$J$6:$J$505,0)),"")</f>
        <v/>
      </c>
      <c r="E8" s="32" t="str">
        <f aca="false">IFERROR(INDEX(Journal!$H$4:$H$503,MATCH(3,$J$6:$J$505,0)),"")</f>
        <v/>
      </c>
      <c r="F8" s="32" t="str">
        <f aca="false">IFERROR(INDEX(Journal!$I$4:$I$503,MATCH(3,$J$6:$J$505,0)),"")</f>
        <v/>
      </c>
      <c r="G8" s="33" t="str">
        <f aca="false">IF(A8="","",G7+N(E8)-N(F8))</f>
        <v/>
      </c>
      <c r="J8" s="34" t="n">
        <f aca="false">IF(Journal!$D6=$B$3,J7+1,J7)</f>
        <v>0</v>
      </c>
    </row>
    <row r="9" customFormat="false" ht="15" hidden="false" customHeight="false" outlineLevel="0" collapsed="false">
      <c r="A9" s="31" t="str">
        <f aca="false">IFERROR(INDEX(Journal!$B$4:$B$503,MATCH(4,$J$6:$J$505,0)),"")</f>
        <v/>
      </c>
      <c r="B9" s="13" t="str">
        <f aca="false">IFERROR(INDEX(Journal!$C$4:$C$503,MATCH(4,$J$6:$J$505,0)),"")</f>
        <v/>
      </c>
      <c r="C9" s="13" t="str">
        <f aca="false">IFERROR(INDEX(Journal!$F$4:$F$503,MATCH(4,$J$6:$J$505,0)),"")</f>
        <v/>
      </c>
      <c r="D9" s="12" t="str">
        <f aca="false">IFERROR(INDEX(Journal!$G$4:$G$503,MATCH(4,$J$6:$J$505,0)),"")</f>
        <v/>
      </c>
      <c r="E9" s="32" t="str">
        <f aca="false">IFERROR(INDEX(Journal!$H$4:$H$503,MATCH(4,$J$6:$J$505,0)),"")</f>
        <v/>
      </c>
      <c r="F9" s="32" t="str">
        <f aca="false">IFERROR(INDEX(Journal!$I$4:$I$503,MATCH(4,$J$6:$J$505,0)),"")</f>
        <v/>
      </c>
      <c r="G9" s="33" t="str">
        <f aca="false">IF(A9="","",G8+N(E9)-N(F9))</f>
        <v/>
      </c>
      <c r="J9" s="34" t="n">
        <f aca="false">IF(Journal!$D7=$B$3,J8+1,J8)</f>
        <v>1</v>
      </c>
    </row>
    <row r="10" customFormat="false" ht="15" hidden="false" customHeight="false" outlineLevel="0" collapsed="false">
      <c r="A10" s="31" t="str">
        <f aca="false">IFERROR(INDEX(Journal!$B$4:$B$503,MATCH(5,$J$6:$J$505,0)),"")</f>
        <v/>
      </c>
      <c r="B10" s="13" t="str">
        <f aca="false">IFERROR(INDEX(Journal!$C$4:$C$503,MATCH(5,$J$6:$J$505,0)),"")</f>
        <v/>
      </c>
      <c r="C10" s="13" t="str">
        <f aca="false">IFERROR(INDEX(Journal!$F$4:$F$503,MATCH(5,$J$6:$J$505,0)),"")</f>
        <v/>
      </c>
      <c r="D10" s="12" t="str">
        <f aca="false">IFERROR(INDEX(Journal!$G$4:$G$503,MATCH(5,$J$6:$J$505,0)),"")</f>
        <v/>
      </c>
      <c r="E10" s="32" t="str">
        <f aca="false">IFERROR(INDEX(Journal!$H$4:$H$503,MATCH(5,$J$6:$J$505,0)),"")</f>
        <v/>
      </c>
      <c r="F10" s="32" t="str">
        <f aca="false">IFERROR(INDEX(Journal!$I$4:$I$503,MATCH(5,$J$6:$J$505,0)),"")</f>
        <v/>
      </c>
      <c r="G10" s="33" t="str">
        <f aca="false">IF(A10="","",G9+N(E10)-N(F10))</f>
        <v/>
      </c>
      <c r="J10" s="34" t="n">
        <f aca="false">IF(Journal!$D8=$B$3,J9+1,J9)</f>
        <v>1</v>
      </c>
    </row>
    <row r="11" customFormat="false" ht="15" hidden="false" customHeight="false" outlineLevel="0" collapsed="false">
      <c r="A11" s="31" t="str">
        <f aca="false">IFERROR(INDEX(Journal!$B$4:$B$503,MATCH(6,$J$6:$J$505,0)),"")</f>
        <v/>
      </c>
      <c r="B11" s="13" t="str">
        <f aca="false">IFERROR(INDEX(Journal!$C$4:$C$503,MATCH(6,$J$6:$J$505,0)),"")</f>
        <v/>
      </c>
      <c r="C11" s="13" t="str">
        <f aca="false">IFERROR(INDEX(Journal!$F$4:$F$503,MATCH(6,$J$6:$J$505,0)),"")</f>
        <v/>
      </c>
      <c r="D11" s="12" t="str">
        <f aca="false">IFERROR(INDEX(Journal!$G$4:$G$503,MATCH(6,$J$6:$J$505,0)),"")</f>
        <v/>
      </c>
      <c r="E11" s="32" t="str">
        <f aca="false">IFERROR(INDEX(Journal!$H$4:$H$503,MATCH(6,$J$6:$J$505,0)),"")</f>
        <v/>
      </c>
      <c r="F11" s="32" t="str">
        <f aca="false">IFERROR(INDEX(Journal!$I$4:$I$503,MATCH(6,$J$6:$J$505,0)),"")</f>
        <v/>
      </c>
      <c r="G11" s="33" t="str">
        <f aca="false">IF(A11="","",G10+N(E11)-N(F11))</f>
        <v/>
      </c>
      <c r="J11" s="34" t="n">
        <f aca="false">IF(Journal!$D9=$B$3,J10+1,J10)</f>
        <v>1</v>
      </c>
    </row>
    <row r="12" customFormat="false" ht="15" hidden="false" customHeight="false" outlineLevel="0" collapsed="false">
      <c r="A12" s="31" t="str">
        <f aca="false">IFERROR(INDEX(Journal!$B$4:$B$503,MATCH(7,$J$6:$J$505,0)),"")</f>
        <v/>
      </c>
      <c r="B12" s="13" t="str">
        <f aca="false">IFERROR(INDEX(Journal!$C$4:$C$503,MATCH(7,$J$6:$J$505,0)),"")</f>
        <v/>
      </c>
      <c r="C12" s="13" t="str">
        <f aca="false">IFERROR(INDEX(Journal!$F$4:$F$503,MATCH(7,$J$6:$J$505,0)),"")</f>
        <v/>
      </c>
      <c r="D12" s="12" t="str">
        <f aca="false">IFERROR(INDEX(Journal!$G$4:$G$503,MATCH(7,$J$6:$J$505,0)),"")</f>
        <v/>
      </c>
      <c r="E12" s="32" t="str">
        <f aca="false">IFERROR(INDEX(Journal!$H$4:$H$503,MATCH(7,$J$6:$J$505,0)),"")</f>
        <v/>
      </c>
      <c r="F12" s="32" t="str">
        <f aca="false">IFERROR(INDEX(Journal!$I$4:$I$503,MATCH(7,$J$6:$J$505,0)),"")</f>
        <v/>
      </c>
      <c r="G12" s="33" t="str">
        <f aca="false">IF(A12="","",G11+N(E12)-N(F12))</f>
        <v/>
      </c>
      <c r="J12" s="34" t="n">
        <f aca="false">IF(Journal!$D10=$B$3,J11+1,J11)</f>
        <v>1</v>
      </c>
    </row>
    <row r="13" customFormat="false" ht="15" hidden="false" customHeight="false" outlineLevel="0" collapsed="false">
      <c r="A13" s="31" t="str">
        <f aca="false">IFERROR(INDEX(Journal!$B$4:$B$503,MATCH(8,$J$6:$J$505,0)),"")</f>
        <v/>
      </c>
      <c r="B13" s="13" t="str">
        <f aca="false">IFERROR(INDEX(Journal!$C$4:$C$503,MATCH(8,$J$6:$J$505,0)),"")</f>
        <v/>
      </c>
      <c r="C13" s="13" t="str">
        <f aca="false">IFERROR(INDEX(Journal!$F$4:$F$503,MATCH(8,$J$6:$J$505,0)),"")</f>
        <v/>
      </c>
      <c r="D13" s="12" t="str">
        <f aca="false">IFERROR(INDEX(Journal!$G$4:$G$503,MATCH(8,$J$6:$J$505,0)),"")</f>
        <v/>
      </c>
      <c r="E13" s="32" t="str">
        <f aca="false">IFERROR(INDEX(Journal!$H$4:$H$503,MATCH(8,$J$6:$J$505,0)),"")</f>
        <v/>
      </c>
      <c r="F13" s="32" t="str">
        <f aca="false">IFERROR(INDEX(Journal!$I$4:$I$503,MATCH(8,$J$6:$J$505,0)),"")</f>
        <v/>
      </c>
      <c r="G13" s="33" t="str">
        <f aca="false">IF(A13="","",G12+N(E13)-N(F13))</f>
        <v/>
      </c>
      <c r="J13" s="34" t="n">
        <f aca="false">IF(Journal!$D11=$B$3,J12+1,J12)</f>
        <v>1</v>
      </c>
    </row>
    <row r="14" customFormat="false" ht="15" hidden="false" customHeight="false" outlineLevel="0" collapsed="false">
      <c r="A14" s="31" t="str">
        <f aca="false">IFERROR(INDEX(Journal!$B$4:$B$503,MATCH(9,$J$6:$J$505,0)),"")</f>
        <v/>
      </c>
      <c r="B14" s="13" t="str">
        <f aca="false">IFERROR(INDEX(Journal!$C$4:$C$503,MATCH(9,$J$6:$J$505,0)),"")</f>
        <v/>
      </c>
      <c r="C14" s="13" t="str">
        <f aca="false">IFERROR(INDEX(Journal!$F$4:$F$503,MATCH(9,$J$6:$J$505,0)),"")</f>
        <v/>
      </c>
      <c r="D14" s="12" t="str">
        <f aca="false">IFERROR(INDEX(Journal!$G$4:$G$503,MATCH(9,$J$6:$J$505,0)),"")</f>
        <v/>
      </c>
      <c r="E14" s="32" t="str">
        <f aca="false">IFERROR(INDEX(Journal!$H$4:$H$503,MATCH(9,$J$6:$J$505,0)),"")</f>
        <v/>
      </c>
      <c r="F14" s="32" t="str">
        <f aca="false">IFERROR(INDEX(Journal!$I$4:$I$503,MATCH(9,$J$6:$J$505,0)),"")</f>
        <v/>
      </c>
      <c r="G14" s="33" t="str">
        <f aca="false">IF(A14="","",G13+N(E14)-N(F14))</f>
        <v/>
      </c>
      <c r="J14" s="34" t="n">
        <f aca="false">IF(Journal!$D12=$B$3,J13+1,J13)</f>
        <v>1</v>
      </c>
    </row>
    <row r="15" customFormat="false" ht="15" hidden="false" customHeight="false" outlineLevel="0" collapsed="false">
      <c r="A15" s="31" t="str">
        <f aca="false">IFERROR(INDEX(Journal!$B$4:$B$503,MATCH(10,$J$6:$J$505,0)),"")</f>
        <v/>
      </c>
      <c r="B15" s="13" t="str">
        <f aca="false">IFERROR(INDEX(Journal!$C$4:$C$503,MATCH(10,$J$6:$J$505,0)),"")</f>
        <v/>
      </c>
      <c r="C15" s="13" t="str">
        <f aca="false">IFERROR(INDEX(Journal!$F$4:$F$503,MATCH(10,$J$6:$J$505,0)),"")</f>
        <v/>
      </c>
      <c r="D15" s="12" t="str">
        <f aca="false">IFERROR(INDEX(Journal!$G$4:$G$503,MATCH(10,$J$6:$J$505,0)),"")</f>
        <v/>
      </c>
      <c r="E15" s="32" t="str">
        <f aca="false">IFERROR(INDEX(Journal!$H$4:$H$503,MATCH(10,$J$6:$J$505,0)),"")</f>
        <v/>
      </c>
      <c r="F15" s="32" t="str">
        <f aca="false">IFERROR(INDEX(Journal!$I$4:$I$503,MATCH(10,$J$6:$J$505,0)),"")</f>
        <v/>
      </c>
      <c r="G15" s="33" t="str">
        <f aca="false">IF(A15="","",G14+N(E15)-N(F15))</f>
        <v/>
      </c>
      <c r="J15" s="34" t="n">
        <f aca="false">IF(Journal!$D13=$B$3,J14+1,J14)</f>
        <v>1</v>
      </c>
    </row>
    <row r="16" customFormat="false" ht="15" hidden="false" customHeight="false" outlineLevel="0" collapsed="false">
      <c r="A16" s="31" t="str">
        <f aca="false">IFERROR(INDEX(Journal!$B$4:$B$503,MATCH(11,$J$6:$J$505,0)),"")</f>
        <v/>
      </c>
      <c r="B16" s="13" t="str">
        <f aca="false">IFERROR(INDEX(Journal!$C$4:$C$503,MATCH(11,$J$6:$J$505,0)),"")</f>
        <v/>
      </c>
      <c r="C16" s="13" t="str">
        <f aca="false">IFERROR(INDEX(Journal!$F$4:$F$503,MATCH(11,$J$6:$J$505,0)),"")</f>
        <v/>
      </c>
      <c r="D16" s="12" t="str">
        <f aca="false">IFERROR(INDEX(Journal!$G$4:$G$503,MATCH(11,$J$6:$J$505,0)),"")</f>
        <v/>
      </c>
      <c r="E16" s="32" t="str">
        <f aca="false">IFERROR(INDEX(Journal!$H$4:$H$503,MATCH(11,$J$6:$J$505,0)),"")</f>
        <v/>
      </c>
      <c r="F16" s="32" t="str">
        <f aca="false">IFERROR(INDEX(Journal!$I$4:$I$503,MATCH(11,$J$6:$J$505,0)),"")</f>
        <v/>
      </c>
      <c r="G16" s="33" t="str">
        <f aca="false">IF(A16="","",G15+N(E16)-N(F16))</f>
        <v/>
      </c>
      <c r="J16" s="34" t="n">
        <f aca="false">IF(Journal!$D14=$B$3,J15+1,J15)</f>
        <v>1</v>
      </c>
    </row>
    <row r="17" customFormat="false" ht="15" hidden="false" customHeight="false" outlineLevel="0" collapsed="false">
      <c r="A17" s="31" t="str">
        <f aca="false">IFERROR(INDEX(Journal!$B$4:$B$503,MATCH(12,$J$6:$J$505,0)),"")</f>
        <v/>
      </c>
      <c r="B17" s="13" t="str">
        <f aca="false">IFERROR(INDEX(Journal!$C$4:$C$503,MATCH(12,$J$6:$J$505,0)),"")</f>
        <v/>
      </c>
      <c r="C17" s="13" t="str">
        <f aca="false">IFERROR(INDEX(Journal!$F$4:$F$503,MATCH(12,$J$6:$J$505,0)),"")</f>
        <v/>
      </c>
      <c r="D17" s="12" t="str">
        <f aca="false">IFERROR(INDEX(Journal!$G$4:$G$503,MATCH(12,$J$6:$J$505,0)),"")</f>
        <v/>
      </c>
      <c r="E17" s="32" t="str">
        <f aca="false">IFERROR(INDEX(Journal!$H$4:$H$503,MATCH(12,$J$6:$J$505,0)),"")</f>
        <v/>
      </c>
      <c r="F17" s="32" t="str">
        <f aca="false">IFERROR(INDEX(Journal!$I$4:$I$503,MATCH(12,$J$6:$J$505,0)),"")</f>
        <v/>
      </c>
      <c r="G17" s="33" t="str">
        <f aca="false">IF(A17="","",G16+N(E17)-N(F17))</f>
        <v/>
      </c>
      <c r="J17" s="34" t="n">
        <f aca="false">IF(Journal!$D15=$B$3,J16+1,J16)</f>
        <v>1</v>
      </c>
    </row>
    <row r="18" customFormat="false" ht="15" hidden="false" customHeight="false" outlineLevel="0" collapsed="false">
      <c r="A18" s="31" t="str">
        <f aca="false">IFERROR(INDEX(Journal!$B$4:$B$503,MATCH(13,$J$6:$J$505,0)),"")</f>
        <v/>
      </c>
      <c r="B18" s="13" t="str">
        <f aca="false">IFERROR(INDEX(Journal!$C$4:$C$503,MATCH(13,$J$6:$J$505,0)),"")</f>
        <v/>
      </c>
      <c r="C18" s="13" t="str">
        <f aca="false">IFERROR(INDEX(Journal!$F$4:$F$503,MATCH(13,$J$6:$J$505,0)),"")</f>
        <v/>
      </c>
      <c r="D18" s="12" t="str">
        <f aca="false">IFERROR(INDEX(Journal!$G$4:$G$503,MATCH(13,$J$6:$J$505,0)),"")</f>
        <v/>
      </c>
      <c r="E18" s="32" t="str">
        <f aca="false">IFERROR(INDEX(Journal!$H$4:$H$503,MATCH(13,$J$6:$J$505,0)),"")</f>
        <v/>
      </c>
      <c r="F18" s="32" t="str">
        <f aca="false">IFERROR(INDEX(Journal!$I$4:$I$503,MATCH(13,$J$6:$J$505,0)),"")</f>
        <v/>
      </c>
      <c r="G18" s="33" t="str">
        <f aca="false">IF(A18="","",G17+N(E18)-N(F18))</f>
        <v/>
      </c>
      <c r="J18" s="34" t="n">
        <f aca="false">IF(Journal!$D16=$B$3,J17+1,J17)</f>
        <v>1</v>
      </c>
    </row>
    <row r="19" customFormat="false" ht="15" hidden="false" customHeight="false" outlineLevel="0" collapsed="false">
      <c r="A19" s="31" t="str">
        <f aca="false">IFERROR(INDEX(Journal!$B$4:$B$503,MATCH(14,$J$6:$J$505,0)),"")</f>
        <v/>
      </c>
      <c r="B19" s="13" t="str">
        <f aca="false">IFERROR(INDEX(Journal!$C$4:$C$503,MATCH(14,$J$6:$J$505,0)),"")</f>
        <v/>
      </c>
      <c r="C19" s="13" t="str">
        <f aca="false">IFERROR(INDEX(Journal!$F$4:$F$503,MATCH(14,$J$6:$J$505,0)),"")</f>
        <v/>
      </c>
      <c r="D19" s="12" t="str">
        <f aca="false">IFERROR(INDEX(Journal!$G$4:$G$503,MATCH(14,$J$6:$J$505,0)),"")</f>
        <v/>
      </c>
      <c r="E19" s="32" t="str">
        <f aca="false">IFERROR(INDEX(Journal!$H$4:$H$503,MATCH(14,$J$6:$J$505,0)),"")</f>
        <v/>
      </c>
      <c r="F19" s="32" t="str">
        <f aca="false">IFERROR(INDEX(Journal!$I$4:$I$503,MATCH(14,$J$6:$J$505,0)),"")</f>
        <v/>
      </c>
      <c r="G19" s="33" t="str">
        <f aca="false">IF(A19="","",G18+N(E19)-N(F19))</f>
        <v/>
      </c>
      <c r="J19" s="34" t="n">
        <f aca="false">IF(Journal!$D17=$B$3,J18+1,J18)</f>
        <v>1</v>
      </c>
    </row>
    <row r="20" customFormat="false" ht="15" hidden="false" customHeight="false" outlineLevel="0" collapsed="false">
      <c r="A20" s="31" t="str">
        <f aca="false">IFERROR(INDEX(Journal!$B$4:$B$503,MATCH(15,$J$6:$J$505,0)),"")</f>
        <v/>
      </c>
      <c r="B20" s="13" t="str">
        <f aca="false">IFERROR(INDEX(Journal!$C$4:$C$503,MATCH(15,$J$6:$J$505,0)),"")</f>
        <v/>
      </c>
      <c r="C20" s="13" t="str">
        <f aca="false">IFERROR(INDEX(Journal!$F$4:$F$503,MATCH(15,$J$6:$J$505,0)),"")</f>
        <v/>
      </c>
      <c r="D20" s="12" t="str">
        <f aca="false">IFERROR(INDEX(Journal!$G$4:$G$503,MATCH(15,$J$6:$J$505,0)),"")</f>
        <v/>
      </c>
      <c r="E20" s="32" t="str">
        <f aca="false">IFERROR(INDEX(Journal!$H$4:$H$503,MATCH(15,$J$6:$J$505,0)),"")</f>
        <v/>
      </c>
      <c r="F20" s="32" t="str">
        <f aca="false">IFERROR(INDEX(Journal!$I$4:$I$503,MATCH(15,$J$6:$J$505,0)),"")</f>
        <v/>
      </c>
      <c r="G20" s="33" t="str">
        <f aca="false">IF(A20="","",G19+N(E20)-N(F20))</f>
        <v/>
      </c>
      <c r="J20" s="34" t="n">
        <f aca="false">IF(Journal!$D18=$B$3,J19+1,J19)</f>
        <v>1</v>
      </c>
    </row>
    <row r="21" customFormat="false" ht="15" hidden="false" customHeight="false" outlineLevel="0" collapsed="false">
      <c r="A21" s="31" t="str">
        <f aca="false">IFERROR(INDEX(Journal!$B$4:$B$503,MATCH(16,$J$6:$J$505,0)),"")</f>
        <v/>
      </c>
      <c r="B21" s="13" t="str">
        <f aca="false">IFERROR(INDEX(Journal!$C$4:$C$503,MATCH(16,$J$6:$J$505,0)),"")</f>
        <v/>
      </c>
      <c r="C21" s="13" t="str">
        <f aca="false">IFERROR(INDEX(Journal!$F$4:$F$503,MATCH(16,$J$6:$J$505,0)),"")</f>
        <v/>
      </c>
      <c r="D21" s="12" t="str">
        <f aca="false">IFERROR(INDEX(Journal!$G$4:$G$503,MATCH(16,$J$6:$J$505,0)),"")</f>
        <v/>
      </c>
      <c r="E21" s="32" t="str">
        <f aca="false">IFERROR(INDEX(Journal!$H$4:$H$503,MATCH(16,$J$6:$J$505,0)),"")</f>
        <v/>
      </c>
      <c r="F21" s="32" t="str">
        <f aca="false">IFERROR(INDEX(Journal!$I$4:$I$503,MATCH(16,$J$6:$J$505,0)),"")</f>
        <v/>
      </c>
      <c r="G21" s="33" t="str">
        <f aca="false">IF(A21="","",G20+N(E21)-N(F21))</f>
        <v/>
      </c>
      <c r="J21" s="34" t="n">
        <f aca="false">IF(Journal!$D19=$B$3,J20+1,J20)</f>
        <v>1</v>
      </c>
    </row>
    <row r="22" customFormat="false" ht="15" hidden="false" customHeight="false" outlineLevel="0" collapsed="false">
      <c r="A22" s="31" t="str">
        <f aca="false">IFERROR(INDEX(Journal!$B$4:$B$503,MATCH(17,$J$6:$J$505,0)),"")</f>
        <v/>
      </c>
      <c r="B22" s="13" t="str">
        <f aca="false">IFERROR(INDEX(Journal!$C$4:$C$503,MATCH(17,$J$6:$J$505,0)),"")</f>
        <v/>
      </c>
      <c r="C22" s="13" t="str">
        <f aca="false">IFERROR(INDEX(Journal!$F$4:$F$503,MATCH(17,$J$6:$J$505,0)),"")</f>
        <v/>
      </c>
      <c r="D22" s="12" t="str">
        <f aca="false">IFERROR(INDEX(Journal!$G$4:$G$503,MATCH(17,$J$6:$J$505,0)),"")</f>
        <v/>
      </c>
      <c r="E22" s="32" t="str">
        <f aca="false">IFERROR(INDEX(Journal!$H$4:$H$503,MATCH(17,$J$6:$J$505,0)),"")</f>
        <v/>
      </c>
      <c r="F22" s="32" t="str">
        <f aca="false">IFERROR(INDEX(Journal!$I$4:$I$503,MATCH(17,$J$6:$J$505,0)),"")</f>
        <v/>
      </c>
      <c r="G22" s="33" t="str">
        <f aca="false">IF(A22="","",G21+N(E22)-N(F22))</f>
        <v/>
      </c>
      <c r="J22" s="34" t="n">
        <f aca="false">IF(Journal!$D20=$B$3,J21+1,J21)</f>
        <v>1</v>
      </c>
    </row>
    <row r="23" customFormat="false" ht="15" hidden="false" customHeight="false" outlineLevel="0" collapsed="false">
      <c r="A23" s="31" t="str">
        <f aca="false">IFERROR(INDEX(Journal!$B$4:$B$503,MATCH(18,$J$6:$J$505,0)),"")</f>
        <v/>
      </c>
      <c r="B23" s="13" t="str">
        <f aca="false">IFERROR(INDEX(Journal!$C$4:$C$503,MATCH(18,$J$6:$J$505,0)),"")</f>
        <v/>
      </c>
      <c r="C23" s="13" t="str">
        <f aca="false">IFERROR(INDEX(Journal!$F$4:$F$503,MATCH(18,$J$6:$J$505,0)),"")</f>
        <v/>
      </c>
      <c r="D23" s="12" t="str">
        <f aca="false">IFERROR(INDEX(Journal!$G$4:$G$503,MATCH(18,$J$6:$J$505,0)),"")</f>
        <v/>
      </c>
      <c r="E23" s="32" t="str">
        <f aca="false">IFERROR(INDEX(Journal!$H$4:$H$503,MATCH(18,$J$6:$J$505,0)),"")</f>
        <v/>
      </c>
      <c r="F23" s="32" t="str">
        <f aca="false">IFERROR(INDEX(Journal!$I$4:$I$503,MATCH(18,$J$6:$J$505,0)),"")</f>
        <v/>
      </c>
      <c r="G23" s="33" t="str">
        <f aca="false">IF(A23="","",G22+N(E23)-N(F23))</f>
        <v/>
      </c>
      <c r="J23" s="34" t="n">
        <f aca="false">IF(Journal!$D21=$B$3,J22+1,J22)</f>
        <v>1</v>
      </c>
    </row>
    <row r="24" customFormat="false" ht="15" hidden="false" customHeight="false" outlineLevel="0" collapsed="false">
      <c r="A24" s="31" t="str">
        <f aca="false">IFERROR(INDEX(Journal!$B$4:$B$503,MATCH(19,$J$6:$J$505,0)),"")</f>
        <v/>
      </c>
      <c r="B24" s="13" t="str">
        <f aca="false">IFERROR(INDEX(Journal!$C$4:$C$503,MATCH(19,$J$6:$J$505,0)),"")</f>
        <v/>
      </c>
      <c r="C24" s="13" t="str">
        <f aca="false">IFERROR(INDEX(Journal!$F$4:$F$503,MATCH(19,$J$6:$J$505,0)),"")</f>
        <v/>
      </c>
      <c r="D24" s="12" t="str">
        <f aca="false">IFERROR(INDEX(Journal!$G$4:$G$503,MATCH(19,$J$6:$J$505,0)),"")</f>
        <v/>
      </c>
      <c r="E24" s="32" t="str">
        <f aca="false">IFERROR(INDEX(Journal!$H$4:$H$503,MATCH(19,$J$6:$J$505,0)),"")</f>
        <v/>
      </c>
      <c r="F24" s="32" t="str">
        <f aca="false">IFERROR(INDEX(Journal!$I$4:$I$503,MATCH(19,$J$6:$J$505,0)),"")</f>
        <v/>
      </c>
      <c r="G24" s="33" t="str">
        <f aca="false">IF(A24="","",G23+N(E24)-N(F24))</f>
        <v/>
      </c>
      <c r="J24" s="34" t="n">
        <f aca="false">IF(Journal!$D22=$B$3,J23+1,J23)</f>
        <v>1</v>
      </c>
    </row>
    <row r="25" customFormat="false" ht="15" hidden="false" customHeight="false" outlineLevel="0" collapsed="false">
      <c r="A25" s="31" t="str">
        <f aca="false">IFERROR(INDEX(Journal!$B$4:$B$503,MATCH(20,$J$6:$J$505,0)),"")</f>
        <v/>
      </c>
      <c r="B25" s="13" t="str">
        <f aca="false">IFERROR(INDEX(Journal!$C$4:$C$503,MATCH(20,$J$6:$J$505,0)),"")</f>
        <v/>
      </c>
      <c r="C25" s="13" t="str">
        <f aca="false">IFERROR(INDEX(Journal!$F$4:$F$503,MATCH(20,$J$6:$J$505,0)),"")</f>
        <v/>
      </c>
      <c r="D25" s="12" t="str">
        <f aca="false">IFERROR(INDEX(Journal!$G$4:$G$503,MATCH(20,$J$6:$J$505,0)),"")</f>
        <v/>
      </c>
      <c r="E25" s="32" t="str">
        <f aca="false">IFERROR(INDEX(Journal!$H$4:$H$503,MATCH(20,$J$6:$J$505,0)),"")</f>
        <v/>
      </c>
      <c r="F25" s="32" t="str">
        <f aca="false">IFERROR(INDEX(Journal!$I$4:$I$503,MATCH(20,$J$6:$J$505,0)),"")</f>
        <v/>
      </c>
      <c r="G25" s="33" t="str">
        <f aca="false">IF(A25="","",G24+N(E25)-N(F25))</f>
        <v/>
      </c>
      <c r="J25" s="34" t="n">
        <f aca="false">IF(Journal!$D23=$B$3,J24+1,J24)</f>
        <v>1</v>
      </c>
    </row>
    <row r="26" customFormat="false" ht="15" hidden="false" customHeight="false" outlineLevel="0" collapsed="false">
      <c r="A26" s="31" t="str">
        <f aca="false">IFERROR(INDEX(Journal!$B$4:$B$503,MATCH(21,$J$6:$J$505,0)),"")</f>
        <v/>
      </c>
      <c r="B26" s="13" t="str">
        <f aca="false">IFERROR(INDEX(Journal!$C$4:$C$503,MATCH(21,$J$6:$J$505,0)),"")</f>
        <v/>
      </c>
      <c r="C26" s="13" t="str">
        <f aca="false">IFERROR(INDEX(Journal!$F$4:$F$503,MATCH(21,$J$6:$J$505,0)),"")</f>
        <v/>
      </c>
      <c r="D26" s="12" t="str">
        <f aca="false">IFERROR(INDEX(Journal!$G$4:$G$503,MATCH(21,$J$6:$J$505,0)),"")</f>
        <v/>
      </c>
      <c r="E26" s="32" t="str">
        <f aca="false">IFERROR(INDEX(Journal!$H$4:$H$503,MATCH(21,$J$6:$J$505,0)),"")</f>
        <v/>
      </c>
      <c r="F26" s="32" t="str">
        <f aca="false">IFERROR(INDEX(Journal!$I$4:$I$503,MATCH(21,$J$6:$J$505,0)),"")</f>
        <v/>
      </c>
      <c r="G26" s="33" t="str">
        <f aca="false">IF(A26="","",G25+N(E26)-N(F26))</f>
        <v/>
      </c>
      <c r="J26" s="34" t="n">
        <f aca="false">IF(Journal!$D24=$B$3,J25+1,J25)</f>
        <v>1</v>
      </c>
    </row>
    <row r="27" customFormat="false" ht="15" hidden="false" customHeight="false" outlineLevel="0" collapsed="false">
      <c r="A27" s="31" t="str">
        <f aca="false">IFERROR(INDEX(Journal!$B$4:$B$503,MATCH(22,$J$6:$J$505,0)),"")</f>
        <v/>
      </c>
      <c r="B27" s="13" t="str">
        <f aca="false">IFERROR(INDEX(Journal!$C$4:$C$503,MATCH(22,$J$6:$J$505,0)),"")</f>
        <v/>
      </c>
      <c r="C27" s="13" t="str">
        <f aca="false">IFERROR(INDEX(Journal!$F$4:$F$503,MATCH(22,$J$6:$J$505,0)),"")</f>
        <v/>
      </c>
      <c r="D27" s="12" t="str">
        <f aca="false">IFERROR(INDEX(Journal!$G$4:$G$503,MATCH(22,$J$6:$J$505,0)),"")</f>
        <v/>
      </c>
      <c r="E27" s="32" t="str">
        <f aca="false">IFERROR(INDEX(Journal!$H$4:$H$503,MATCH(22,$J$6:$J$505,0)),"")</f>
        <v/>
      </c>
      <c r="F27" s="32" t="str">
        <f aca="false">IFERROR(INDEX(Journal!$I$4:$I$503,MATCH(22,$J$6:$J$505,0)),"")</f>
        <v/>
      </c>
      <c r="G27" s="33" t="str">
        <f aca="false">IF(A27="","",G26+N(E27)-N(F27))</f>
        <v/>
      </c>
      <c r="J27" s="34" t="n">
        <f aca="false">IF(Journal!$D25=$B$3,J26+1,J26)</f>
        <v>1</v>
      </c>
    </row>
    <row r="28" customFormat="false" ht="15" hidden="false" customHeight="false" outlineLevel="0" collapsed="false">
      <c r="A28" s="31" t="str">
        <f aca="false">IFERROR(INDEX(Journal!$B$4:$B$503,MATCH(23,$J$6:$J$505,0)),"")</f>
        <v/>
      </c>
      <c r="B28" s="13" t="str">
        <f aca="false">IFERROR(INDEX(Journal!$C$4:$C$503,MATCH(23,$J$6:$J$505,0)),"")</f>
        <v/>
      </c>
      <c r="C28" s="13" t="str">
        <f aca="false">IFERROR(INDEX(Journal!$F$4:$F$503,MATCH(23,$J$6:$J$505,0)),"")</f>
        <v/>
      </c>
      <c r="D28" s="12" t="str">
        <f aca="false">IFERROR(INDEX(Journal!$G$4:$G$503,MATCH(23,$J$6:$J$505,0)),"")</f>
        <v/>
      </c>
      <c r="E28" s="32" t="str">
        <f aca="false">IFERROR(INDEX(Journal!$H$4:$H$503,MATCH(23,$J$6:$J$505,0)),"")</f>
        <v/>
      </c>
      <c r="F28" s="32" t="str">
        <f aca="false">IFERROR(INDEX(Journal!$I$4:$I$503,MATCH(23,$J$6:$J$505,0)),"")</f>
        <v/>
      </c>
      <c r="G28" s="33" t="str">
        <f aca="false">IF(A28="","",G27+N(E28)-N(F28))</f>
        <v/>
      </c>
      <c r="J28" s="34" t="n">
        <f aca="false">IF(Journal!$D26=$B$3,J27+1,J27)</f>
        <v>1</v>
      </c>
    </row>
    <row r="29" customFormat="false" ht="15" hidden="false" customHeight="false" outlineLevel="0" collapsed="false">
      <c r="A29" s="31" t="str">
        <f aca="false">IFERROR(INDEX(Journal!$B$4:$B$503,MATCH(24,$J$6:$J$505,0)),"")</f>
        <v/>
      </c>
      <c r="B29" s="13" t="str">
        <f aca="false">IFERROR(INDEX(Journal!$C$4:$C$503,MATCH(24,$J$6:$J$505,0)),"")</f>
        <v/>
      </c>
      <c r="C29" s="13" t="str">
        <f aca="false">IFERROR(INDEX(Journal!$F$4:$F$503,MATCH(24,$J$6:$J$505,0)),"")</f>
        <v/>
      </c>
      <c r="D29" s="12" t="str">
        <f aca="false">IFERROR(INDEX(Journal!$G$4:$G$503,MATCH(24,$J$6:$J$505,0)),"")</f>
        <v/>
      </c>
      <c r="E29" s="32" t="str">
        <f aca="false">IFERROR(INDEX(Journal!$H$4:$H$503,MATCH(24,$J$6:$J$505,0)),"")</f>
        <v/>
      </c>
      <c r="F29" s="32" t="str">
        <f aca="false">IFERROR(INDEX(Journal!$I$4:$I$503,MATCH(24,$J$6:$J$505,0)),"")</f>
        <v/>
      </c>
      <c r="G29" s="33" t="str">
        <f aca="false">IF(A29="","",G28+N(E29)-N(F29))</f>
        <v/>
      </c>
      <c r="J29" s="34" t="n">
        <f aca="false">IF(Journal!$D27=$B$3,J28+1,J28)</f>
        <v>1</v>
      </c>
    </row>
    <row r="30" customFormat="false" ht="15" hidden="false" customHeight="false" outlineLevel="0" collapsed="false">
      <c r="A30" s="31" t="str">
        <f aca="false">IFERROR(INDEX(Journal!$B$4:$B$503,MATCH(25,$J$6:$J$505,0)),"")</f>
        <v/>
      </c>
      <c r="B30" s="13" t="str">
        <f aca="false">IFERROR(INDEX(Journal!$C$4:$C$503,MATCH(25,$J$6:$J$505,0)),"")</f>
        <v/>
      </c>
      <c r="C30" s="13" t="str">
        <f aca="false">IFERROR(INDEX(Journal!$F$4:$F$503,MATCH(25,$J$6:$J$505,0)),"")</f>
        <v/>
      </c>
      <c r="D30" s="12" t="str">
        <f aca="false">IFERROR(INDEX(Journal!$G$4:$G$503,MATCH(25,$J$6:$J$505,0)),"")</f>
        <v/>
      </c>
      <c r="E30" s="32" t="str">
        <f aca="false">IFERROR(INDEX(Journal!$H$4:$H$503,MATCH(25,$J$6:$J$505,0)),"")</f>
        <v/>
      </c>
      <c r="F30" s="32" t="str">
        <f aca="false">IFERROR(INDEX(Journal!$I$4:$I$503,MATCH(25,$J$6:$J$505,0)),"")</f>
        <v/>
      </c>
      <c r="G30" s="33" t="str">
        <f aca="false">IF(A30="","",G29+N(E30)-N(F30))</f>
        <v/>
      </c>
      <c r="J30" s="34" t="n">
        <f aca="false">IF(Journal!$D28=$B$3,J29+1,J29)</f>
        <v>1</v>
      </c>
    </row>
    <row r="31" customFormat="false" ht="15" hidden="false" customHeight="false" outlineLevel="0" collapsed="false">
      <c r="A31" s="31" t="str">
        <f aca="false">IFERROR(INDEX(Journal!$B$4:$B$503,MATCH(26,$J$6:$J$505,0)),"")</f>
        <v/>
      </c>
      <c r="B31" s="13" t="str">
        <f aca="false">IFERROR(INDEX(Journal!$C$4:$C$503,MATCH(26,$J$6:$J$505,0)),"")</f>
        <v/>
      </c>
      <c r="C31" s="13" t="str">
        <f aca="false">IFERROR(INDEX(Journal!$F$4:$F$503,MATCH(26,$J$6:$J$505,0)),"")</f>
        <v/>
      </c>
      <c r="D31" s="12" t="str">
        <f aca="false">IFERROR(INDEX(Journal!$G$4:$G$503,MATCH(26,$J$6:$J$505,0)),"")</f>
        <v/>
      </c>
      <c r="E31" s="32" t="str">
        <f aca="false">IFERROR(INDEX(Journal!$H$4:$H$503,MATCH(26,$J$6:$J$505,0)),"")</f>
        <v/>
      </c>
      <c r="F31" s="32" t="str">
        <f aca="false">IFERROR(INDEX(Journal!$I$4:$I$503,MATCH(26,$J$6:$J$505,0)),"")</f>
        <v/>
      </c>
      <c r="G31" s="33" t="str">
        <f aca="false">IF(A31="","",G30+N(E31)-N(F31))</f>
        <v/>
      </c>
      <c r="J31" s="34" t="n">
        <f aca="false">IF(Journal!$D29=$B$3,J30+1,J30)</f>
        <v>1</v>
      </c>
    </row>
    <row r="32" customFormat="false" ht="15" hidden="false" customHeight="false" outlineLevel="0" collapsed="false">
      <c r="A32" s="31" t="str">
        <f aca="false">IFERROR(INDEX(Journal!$B$4:$B$503,MATCH(27,$J$6:$J$505,0)),"")</f>
        <v/>
      </c>
      <c r="B32" s="13" t="str">
        <f aca="false">IFERROR(INDEX(Journal!$C$4:$C$503,MATCH(27,$J$6:$J$505,0)),"")</f>
        <v/>
      </c>
      <c r="C32" s="13" t="str">
        <f aca="false">IFERROR(INDEX(Journal!$F$4:$F$503,MATCH(27,$J$6:$J$505,0)),"")</f>
        <v/>
      </c>
      <c r="D32" s="12" t="str">
        <f aca="false">IFERROR(INDEX(Journal!$G$4:$G$503,MATCH(27,$J$6:$J$505,0)),"")</f>
        <v/>
      </c>
      <c r="E32" s="32" t="str">
        <f aca="false">IFERROR(INDEX(Journal!$H$4:$H$503,MATCH(27,$J$6:$J$505,0)),"")</f>
        <v/>
      </c>
      <c r="F32" s="32" t="str">
        <f aca="false">IFERROR(INDEX(Journal!$I$4:$I$503,MATCH(27,$J$6:$J$505,0)),"")</f>
        <v/>
      </c>
      <c r="G32" s="33" t="str">
        <f aca="false">IF(A32="","",G31+N(E32)-N(F32))</f>
        <v/>
      </c>
      <c r="J32" s="34" t="n">
        <f aca="false">IF(Journal!$D30=$B$3,J31+1,J31)</f>
        <v>1</v>
      </c>
    </row>
    <row r="33" customFormat="false" ht="15" hidden="false" customHeight="false" outlineLevel="0" collapsed="false">
      <c r="A33" s="31" t="str">
        <f aca="false">IFERROR(INDEX(Journal!$B$4:$B$503,MATCH(28,$J$6:$J$505,0)),"")</f>
        <v/>
      </c>
      <c r="B33" s="13" t="str">
        <f aca="false">IFERROR(INDEX(Journal!$C$4:$C$503,MATCH(28,$J$6:$J$505,0)),"")</f>
        <v/>
      </c>
      <c r="C33" s="13" t="str">
        <f aca="false">IFERROR(INDEX(Journal!$F$4:$F$503,MATCH(28,$J$6:$J$505,0)),"")</f>
        <v/>
      </c>
      <c r="D33" s="12" t="str">
        <f aca="false">IFERROR(INDEX(Journal!$G$4:$G$503,MATCH(28,$J$6:$J$505,0)),"")</f>
        <v/>
      </c>
      <c r="E33" s="32" t="str">
        <f aca="false">IFERROR(INDEX(Journal!$H$4:$H$503,MATCH(28,$J$6:$J$505,0)),"")</f>
        <v/>
      </c>
      <c r="F33" s="32" t="str">
        <f aca="false">IFERROR(INDEX(Journal!$I$4:$I$503,MATCH(28,$J$6:$J$505,0)),"")</f>
        <v/>
      </c>
      <c r="G33" s="33" t="str">
        <f aca="false">IF(A33="","",G32+N(E33)-N(F33))</f>
        <v/>
      </c>
      <c r="J33" s="34" t="n">
        <f aca="false">IF(Journal!$D31=$B$3,J32+1,J32)</f>
        <v>1</v>
      </c>
    </row>
    <row r="34" customFormat="false" ht="15" hidden="false" customHeight="false" outlineLevel="0" collapsed="false">
      <c r="A34" s="31" t="str">
        <f aca="false">IFERROR(INDEX(Journal!$B$4:$B$503,MATCH(29,$J$6:$J$505,0)),"")</f>
        <v/>
      </c>
      <c r="B34" s="13" t="str">
        <f aca="false">IFERROR(INDEX(Journal!$C$4:$C$503,MATCH(29,$J$6:$J$505,0)),"")</f>
        <v/>
      </c>
      <c r="C34" s="13" t="str">
        <f aca="false">IFERROR(INDEX(Journal!$F$4:$F$503,MATCH(29,$J$6:$J$505,0)),"")</f>
        <v/>
      </c>
      <c r="D34" s="12" t="str">
        <f aca="false">IFERROR(INDEX(Journal!$G$4:$G$503,MATCH(29,$J$6:$J$505,0)),"")</f>
        <v/>
      </c>
      <c r="E34" s="32" t="str">
        <f aca="false">IFERROR(INDEX(Journal!$H$4:$H$503,MATCH(29,$J$6:$J$505,0)),"")</f>
        <v/>
      </c>
      <c r="F34" s="32" t="str">
        <f aca="false">IFERROR(INDEX(Journal!$I$4:$I$503,MATCH(29,$J$6:$J$505,0)),"")</f>
        <v/>
      </c>
      <c r="G34" s="33" t="str">
        <f aca="false">IF(A34="","",G33+N(E34)-N(F34))</f>
        <v/>
      </c>
      <c r="J34" s="34" t="n">
        <f aca="false">IF(Journal!$D32=$B$3,J33+1,J33)</f>
        <v>1</v>
      </c>
    </row>
    <row r="35" customFormat="false" ht="15" hidden="false" customHeight="false" outlineLevel="0" collapsed="false">
      <c r="A35" s="31" t="str">
        <f aca="false">IFERROR(INDEX(Journal!$B$4:$B$503,MATCH(30,$J$6:$J$505,0)),"")</f>
        <v/>
      </c>
      <c r="B35" s="13" t="str">
        <f aca="false">IFERROR(INDEX(Journal!$C$4:$C$503,MATCH(30,$J$6:$J$505,0)),"")</f>
        <v/>
      </c>
      <c r="C35" s="13" t="str">
        <f aca="false">IFERROR(INDEX(Journal!$F$4:$F$503,MATCH(30,$J$6:$J$505,0)),"")</f>
        <v/>
      </c>
      <c r="D35" s="12" t="str">
        <f aca="false">IFERROR(INDEX(Journal!$G$4:$G$503,MATCH(30,$J$6:$J$505,0)),"")</f>
        <v/>
      </c>
      <c r="E35" s="32" t="str">
        <f aca="false">IFERROR(INDEX(Journal!$H$4:$H$503,MATCH(30,$J$6:$J$505,0)),"")</f>
        <v/>
      </c>
      <c r="F35" s="32" t="str">
        <f aca="false">IFERROR(INDEX(Journal!$I$4:$I$503,MATCH(30,$J$6:$J$505,0)),"")</f>
        <v/>
      </c>
      <c r="G35" s="33" t="str">
        <f aca="false">IF(A35="","",G34+N(E35)-N(F35))</f>
        <v/>
      </c>
      <c r="J35" s="34" t="n">
        <f aca="false">IF(Journal!$D33=$B$3,J34+1,J34)</f>
        <v>1</v>
      </c>
    </row>
    <row r="36" customFormat="false" ht="15" hidden="false" customHeight="false" outlineLevel="0" collapsed="false">
      <c r="A36" s="31" t="str">
        <f aca="false">IFERROR(INDEX(Journal!$B$4:$B$503,MATCH(31,$J$6:$J$505,0)),"")</f>
        <v/>
      </c>
      <c r="B36" s="13" t="str">
        <f aca="false">IFERROR(INDEX(Journal!$C$4:$C$503,MATCH(31,$J$6:$J$505,0)),"")</f>
        <v/>
      </c>
      <c r="C36" s="13" t="str">
        <f aca="false">IFERROR(INDEX(Journal!$F$4:$F$503,MATCH(31,$J$6:$J$505,0)),"")</f>
        <v/>
      </c>
      <c r="D36" s="12" t="str">
        <f aca="false">IFERROR(INDEX(Journal!$G$4:$G$503,MATCH(31,$J$6:$J$505,0)),"")</f>
        <v/>
      </c>
      <c r="E36" s="32" t="str">
        <f aca="false">IFERROR(INDEX(Journal!$H$4:$H$503,MATCH(31,$J$6:$J$505,0)),"")</f>
        <v/>
      </c>
      <c r="F36" s="32" t="str">
        <f aca="false">IFERROR(INDEX(Journal!$I$4:$I$503,MATCH(31,$J$6:$J$505,0)),"")</f>
        <v/>
      </c>
      <c r="G36" s="33" t="str">
        <f aca="false">IF(A36="","",G35+N(E36)-N(F36))</f>
        <v/>
      </c>
      <c r="J36" s="34" t="n">
        <f aca="false">IF(Journal!$D34=$B$3,J35+1,J35)</f>
        <v>1</v>
      </c>
    </row>
    <row r="37" customFormat="false" ht="15" hidden="false" customHeight="false" outlineLevel="0" collapsed="false">
      <c r="A37" s="31" t="str">
        <f aca="false">IFERROR(INDEX(Journal!$B$4:$B$503,MATCH(32,$J$6:$J$505,0)),"")</f>
        <v/>
      </c>
      <c r="B37" s="13" t="str">
        <f aca="false">IFERROR(INDEX(Journal!$C$4:$C$503,MATCH(32,$J$6:$J$505,0)),"")</f>
        <v/>
      </c>
      <c r="C37" s="13" t="str">
        <f aca="false">IFERROR(INDEX(Journal!$F$4:$F$503,MATCH(32,$J$6:$J$505,0)),"")</f>
        <v/>
      </c>
      <c r="D37" s="12" t="str">
        <f aca="false">IFERROR(INDEX(Journal!$G$4:$G$503,MATCH(32,$J$6:$J$505,0)),"")</f>
        <v/>
      </c>
      <c r="E37" s="32" t="str">
        <f aca="false">IFERROR(INDEX(Journal!$H$4:$H$503,MATCH(32,$J$6:$J$505,0)),"")</f>
        <v/>
      </c>
      <c r="F37" s="32" t="str">
        <f aca="false">IFERROR(INDEX(Journal!$I$4:$I$503,MATCH(32,$J$6:$J$505,0)),"")</f>
        <v/>
      </c>
      <c r="G37" s="33" t="str">
        <f aca="false">IF(A37="","",G36+N(E37)-N(F37))</f>
        <v/>
      </c>
      <c r="J37" s="34" t="n">
        <f aca="false">IF(Journal!$D35=$B$3,J36+1,J36)</f>
        <v>1</v>
      </c>
    </row>
    <row r="38" customFormat="false" ht="15" hidden="false" customHeight="false" outlineLevel="0" collapsed="false">
      <c r="A38" s="31" t="str">
        <f aca="false">IFERROR(INDEX(Journal!$B$4:$B$503,MATCH(33,$J$6:$J$505,0)),"")</f>
        <v/>
      </c>
      <c r="B38" s="13" t="str">
        <f aca="false">IFERROR(INDEX(Journal!$C$4:$C$503,MATCH(33,$J$6:$J$505,0)),"")</f>
        <v/>
      </c>
      <c r="C38" s="13" t="str">
        <f aca="false">IFERROR(INDEX(Journal!$F$4:$F$503,MATCH(33,$J$6:$J$505,0)),"")</f>
        <v/>
      </c>
      <c r="D38" s="12" t="str">
        <f aca="false">IFERROR(INDEX(Journal!$G$4:$G$503,MATCH(33,$J$6:$J$505,0)),"")</f>
        <v/>
      </c>
      <c r="E38" s="32" t="str">
        <f aca="false">IFERROR(INDEX(Journal!$H$4:$H$503,MATCH(33,$J$6:$J$505,0)),"")</f>
        <v/>
      </c>
      <c r="F38" s="32" t="str">
        <f aca="false">IFERROR(INDEX(Journal!$I$4:$I$503,MATCH(33,$J$6:$J$505,0)),"")</f>
        <v/>
      </c>
      <c r="G38" s="33" t="str">
        <f aca="false">IF(A38="","",G37+N(E38)-N(F38))</f>
        <v/>
      </c>
      <c r="J38" s="34" t="n">
        <f aca="false">IF(Journal!$D36=$B$3,J37+1,J37)</f>
        <v>1</v>
      </c>
    </row>
    <row r="39" customFormat="false" ht="15" hidden="false" customHeight="false" outlineLevel="0" collapsed="false">
      <c r="A39" s="31" t="str">
        <f aca="false">IFERROR(INDEX(Journal!$B$4:$B$503,MATCH(34,$J$6:$J$505,0)),"")</f>
        <v/>
      </c>
      <c r="B39" s="13" t="str">
        <f aca="false">IFERROR(INDEX(Journal!$C$4:$C$503,MATCH(34,$J$6:$J$505,0)),"")</f>
        <v/>
      </c>
      <c r="C39" s="13" t="str">
        <f aca="false">IFERROR(INDEX(Journal!$F$4:$F$503,MATCH(34,$J$6:$J$505,0)),"")</f>
        <v/>
      </c>
      <c r="D39" s="12" t="str">
        <f aca="false">IFERROR(INDEX(Journal!$G$4:$G$503,MATCH(34,$J$6:$J$505,0)),"")</f>
        <v/>
      </c>
      <c r="E39" s="32" t="str">
        <f aca="false">IFERROR(INDEX(Journal!$H$4:$H$503,MATCH(34,$J$6:$J$505,0)),"")</f>
        <v/>
      </c>
      <c r="F39" s="32" t="str">
        <f aca="false">IFERROR(INDEX(Journal!$I$4:$I$503,MATCH(34,$J$6:$J$505,0)),"")</f>
        <v/>
      </c>
      <c r="G39" s="33" t="str">
        <f aca="false">IF(A39="","",G38+N(E39)-N(F39))</f>
        <v/>
      </c>
      <c r="J39" s="34" t="n">
        <f aca="false">IF(Journal!$D37=$B$3,J38+1,J38)</f>
        <v>1</v>
      </c>
    </row>
    <row r="40" customFormat="false" ht="15" hidden="false" customHeight="false" outlineLevel="0" collapsed="false">
      <c r="A40" s="31" t="str">
        <f aca="false">IFERROR(INDEX(Journal!$B$4:$B$503,MATCH(35,$J$6:$J$505,0)),"")</f>
        <v/>
      </c>
      <c r="B40" s="13" t="str">
        <f aca="false">IFERROR(INDEX(Journal!$C$4:$C$503,MATCH(35,$J$6:$J$505,0)),"")</f>
        <v/>
      </c>
      <c r="C40" s="13" t="str">
        <f aca="false">IFERROR(INDEX(Journal!$F$4:$F$503,MATCH(35,$J$6:$J$505,0)),"")</f>
        <v/>
      </c>
      <c r="D40" s="12" t="str">
        <f aca="false">IFERROR(INDEX(Journal!$G$4:$G$503,MATCH(35,$J$6:$J$505,0)),"")</f>
        <v/>
      </c>
      <c r="E40" s="32" t="str">
        <f aca="false">IFERROR(INDEX(Journal!$H$4:$H$503,MATCH(35,$J$6:$J$505,0)),"")</f>
        <v/>
      </c>
      <c r="F40" s="32" t="str">
        <f aca="false">IFERROR(INDEX(Journal!$I$4:$I$503,MATCH(35,$J$6:$J$505,0)),"")</f>
        <v/>
      </c>
      <c r="G40" s="33" t="str">
        <f aca="false">IF(A40="","",G39+N(E40)-N(F40))</f>
        <v/>
      </c>
      <c r="J40" s="34" t="n">
        <f aca="false">IF(Journal!$D38=$B$3,J39+1,J39)</f>
        <v>1</v>
      </c>
    </row>
    <row r="41" customFormat="false" ht="15" hidden="false" customHeight="false" outlineLevel="0" collapsed="false">
      <c r="A41" s="31" t="str">
        <f aca="false">IFERROR(INDEX(Journal!$B$4:$B$503,MATCH(36,$J$6:$J$505,0)),"")</f>
        <v/>
      </c>
      <c r="B41" s="13" t="str">
        <f aca="false">IFERROR(INDEX(Journal!$C$4:$C$503,MATCH(36,$J$6:$J$505,0)),"")</f>
        <v/>
      </c>
      <c r="C41" s="13" t="str">
        <f aca="false">IFERROR(INDEX(Journal!$F$4:$F$503,MATCH(36,$J$6:$J$505,0)),"")</f>
        <v/>
      </c>
      <c r="D41" s="12" t="str">
        <f aca="false">IFERROR(INDEX(Journal!$G$4:$G$503,MATCH(36,$J$6:$J$505,0)),"")</f>
        <v/>
      </c>
      <c r="E41" s="32" t="str">
        <f aca="false">IFERROR(INDEX(Journal!$H$4:$H$503,MATCH(36,$J$6:$J$505,0)),"")</f>
        <v/>
      </c>
      <c r="F41" s="32" t="str">
        <f aca="false">IFERROR(INDEX(Journal!$I$4:$I$503,MATCH(36,$J$6:$J$505,0)),"")</f>
        <v/>
      </c>
      <c r="G41" s="33" t="str">
        <f aca="false">IF(A41="","",G40+N(E41)-N(F41))</f>
        <v/>
      </c>
      <c r="J41" s="34" t="n">
        <f aca="false">IF(Journal!$D39=$B$3,J40+1,J40)</f>
        <v>1</v>
      </c>
    </row>
    <row r="42" customFormat="false" ht="15" hidden="false" customHeight="false" outlineLevel="0" collapsed="false">
      <c r="A42" s="31" t="str">
        <f aca="false">IFERROR(INDEX(Journal!$B$4:$B$503,MATCH(37,$J$6:$J$505,0)),"")</f>
        <v/>
      </c>
      <c r="B42" s="13" t="str">
        <f aca="false">IFERROR(INDEX(Journal!$C$4:$C$503,MATCH(37,$J$6:$J$505,0)),"")</f>
        <v/>
      </c>
      <c r="C42" s="13" t="str">
        <f aca="false">IFERROR(INDEX(Journal!$F$4:$F$503,MATCH(37,$J$6:$J$505,0)),"")</f>
        <v/>
      </c>
      <c r="D42" s="12" t="str">
        <f aca="false">IFERROR(INDEX(Journal!$G$4:$G$503,MATCH(37,$J$6:$J$505,0)),"")</f>
        <v/>
      </c>
      <c r="E42" s="32" t="str">
        <f aca="false">IFERROR(INDEX(Journal!$H$4:$H$503,MATCH(37,$J$6:$J$505,0)),"")</f>
        <v/>
      </c>
      <c r="F42" s="32" t="str">
        <f aca="false">IFERROR(INDEX(Journal!$I$4:$I$503,MATCH(37,$J$6:$J$505,0)),"")</f>
        <v/>
      </c>
      <c r="G42" s="33" t="str">
        <f aca="false">IF(A42="","",G41+N(E42)-N(F42))</f>
        <v/>
      </c>
      <c r="J42" s="34" t="n">
        <f aca="false">IF(Journal!$D40=$B$3,J41+1,J41)</f>
        <v>1</v>
      </c>
    </row>
    <row r="43" customFormat="false" ht="15" hidden="false" customHeight="false" outlineLevel="0" collapsed="false">
      <c r="A43" s="31" t="str">
        <f aca="false">IFERROR(INDEX(Journal!$B$4:$B$503,MATCH(38,$J$6:$J$505,0)),"")</f>
        <v/>
      </c>
      <c r="B43" s="13" t="str">
        <f aca="false">IFERROR(INDEX(Journal!$C$4:$C$503,MATCH(38,$J$6:$J$505,0)),"")</f>
        <v/>
      </c>
      <c r="C43" s="13" t="str">
        <f aca="false">IFERROR(INDEX(Journal!$F$4:$F$503,MATCH(38,$J$6:$J$505,0)),"")</f>
        <v/>
      </c>
      <c r="D43" s="12" t="str">
        <f aca="false">IFERROR(INDEX(Journal!$G$4:$G$503,MATCH(38,$J$6:$J$505,0)),"")</f>
        <v/>
      </c>
      <c r="E43" s="32" t="str">
        <f aca="false">IFERROR(INDEX(Journal!$H$4:$H$503,MATCH(38,$J$6:$J$505,0)),"")</f>
        <v/>
      </c>
      <c r="F43" s="32" t="str">
        <f aca="false">IFERROR(INDEX(Journal!$I$4:$I$503,MATCH(38,$J$6:$J$505,0)),"")</f>
        <v/>
      </c>
      <c r="G43" s="33" t="str">
        <f aca="false">IF(A43="","",G42+N(E43)-N(F43))</f>
        <v/>
      </c>
      <c r="J43" s="34" t="n">
        <f aca="false">IF(Journal!$D41=$B$3,J42+1,J42)</f>
        <v>1</v>
      </c>
    </row>
    <row r="44" customFormat="false" ht="15" hidden="false" customHeight="false" outlineLevel="0" collapsed="false">
      <c r="A44" s="31" t="str">
        <f aca="false">IFERROR(INDEX(Journal!$B$4:$B$503,MATCH(39,$J$6:$J$505,0)),"")</f>
        <v/>
      </c>
      <c r="B44" s="13" t="str">
        <f aca="false">IFERROR(INDEX(Journal!$C$4:$C$503,MATCH(39,$J$6:$J$505,0)),"")</f>
        <v/>
      </c>
      <c r="C44" s="13" t="str">
        <f aca="false">IFERROR(INDEX(Journal!$F$4:$F$503,MATCH(39,$J$6:$J$505,0)),"")</f>
        <v/>
      </c>
      <c r="D44" s="12" t="str">
        <f aca="false">IFERROR(INDEX(Journal!$G$4:$G$503,MATCH(39,$J$6:$J$505,0)),"")</f>
        <v/>
      </c>
      <c r="E44" s="32" t="str">
        <f aca="false">IFERROR(INDEX(Journal!$H$4:$H$503,MATCH(39,$J$6:$J$505,0)),"")</f>
        <v/>
      </c>
      <c r="F44" s="32" t="str">
        <f aca="false">IFERROR(INDEX(Journal!$I$4:$I$503,MATCH(39,$J$6:$J$505,0)),"")</f>
        <v/>
      </c>
      <c r="G44" s="33" t="str">
        <f aca="false">IF(A44="","",G43+N(E44)-N(F44))</f>
        <v/>
      </c>
      <c r="J44" s="34" t="n">
        <f aca="false">IF(Journal!$D42=$B$3,J43+1,J43)</f>
        <v>1</v>
      </c>
    </row>
    <row r="45" customFormat="false" ht="15" hidden="false" customHeight="false" outlineLevel="0" collapsed="false">
      <c r="A45" s="31" t="str">
        <f aca="false">IFERROR(INDEX(Journal!$B$4:$B$503,MATCH(40,$J$6:$J$505,0)),"")</f>
        <v/>
      </c>
      <c r="B45" s="13" t="str">
        <f aca="false">IFERROR(INDEX(Journal!$C$4:$C$503,MATCH(40,$J$6:$J$505,0)),"")</f>
        <v/>
      </c>
      <c r="C45" s="13" t="str">
        <f aca="false">IFERROR(INDEX(Journal!$F$4:$F$503,MATCH(40,$J$6:$J$505,0)),"")</f>
        <v/>
      </c>
      <c r="D45" s="12" t="str">
        <f aca="false">IFERROR(INDEX(Journal!$G$4:$G$503,MATCH(40,$J$6:$J$505,0)),"")</f>
        <v/>
      </c>
      <c r="E45" s="32" t="str">
        <f aca="false">IFERROR(INDEX(Journal!$H$4:$H$503,MATCH(40,$J$6:$J$505,0)),"")</f>
        <v/>
      </c>
      <c r="F45" s="32" t="str">
        <f aca="false">IFERROR(INDEX(Journal!$I$4:$I$503,MATCH(40,$J$6:$J$505,0)),"")</f>
        <v/>
      </c>
      <c r="G45" s="33" t="str">
        <f aca="false">IF(A45="","",G44+N(E45)-N(F45))</f>
        <v/>
      </c>
      <c r="J45" s="34" t="n">
        <f aca="false">IF(Journal!$D43=$B$3,J44+1,J44)</f>
        <v>1</v>
      </c>
    </row>
    <row r="46" customFormat="false" ht="15" hidden="false" customHeight="false" outlineLevel="0" collapsed="false">
      <c r="A46" s="31" t="str">
        <f aca="false">IFERROR(INDEX(Journal!$B$4:$B$503,MATCH(41,$J$6:$J$505,0)),"")</f>
        <v/>
      </c>
      <c r="B46" s="13" t="str">
        <f aca="false">IFERROR(INDEX(Journal!$C$4:$C$503,MATCH(41,$J$6:$J$505,0)),"")</f>
        <v/>
      </c>
      <c r="C46" s="13" t="str">
        <f aca="false">IFERROR(INDEX(Journal!$F$4:$F$503,MATCH(41,$J$6:$J$505,0)),"")</f>
        <v/>
      </c>
      <c r="D46" s="12" t="str">
        <f aca="false">IFERROR(INDEX(Journal!$G$4:$G$503,MATCH(41,$J$6:$J$505,0)),"")</f>
        <v/>
      </c>
      <c r="E46" s="32" t="str">
        <f aca="false">IFERROR(INDEX(Journal!$H$4:$H$503,MATCH(41,$J$6:$J$505,0)),"")</f>
        <v/>
      </c>
      <c r="F46" s="32" t="str">
        <f aca="false">IFERROR(INDEX(Journal!$I$4:$I$503,MATCH(41,$J$6:$J$505,0)),"")</f>
        <v/>
      </c>
      <c r="G46" s="33" t="str">
        <f aca="false">IF(A46="","",G45+N(E46)-N(F46))</f>
        <v/>
      </c>
      <c r="J46" s="34" t="n">
        <f aca="false">IF(Journal!$D44=$B$3,J45+1,J45)</f>
        <v>1</v>
      </c>
    </row>
    <row r="47" customFormat="false" ht="15" hidden="false" customHeight="false" outlineLevel="0" collapsed="false">
      <c r="A47" s="31" t="str">
        <f aca="false">IFERROR(INDEX(Journal!$B$4:$B$503,MATCH(42,$J$6:$J$505,0)),"")</f>
        <v/>
      </c>
      <c r="B47" s="13" t="str">
        <f aca="false">IFERROR(INDEX(Journal!$C$4:$C$503,MATCH(42,$J$6:$J$505,0)),"")</f>
        <v/>
      </c>
      <c r="C47" s="13" t="str">
        <f aca="false">IFERROR(INDEX(Journal!$F$4:$F$503,MATCH(42,$J$6:$J$505,0)),"")</f>
        <v/>
      </c>
      <c r="D47" s="12" t="str">
        <f aca="false">IFERROR(INDEX(Journal!$G$4:$G$503,MATCH(42,$J$6:$J$505,0)),"")</f>
        <v/>
      </c>
      <c r="E47" s="32" t="str">
        <f aca="false">IFERROR(INDEX(Journal!$H$4:$H$503,MATCH(42,$J$6:$J$505,0)),"")</f>
        <v/>
      </c>
      <c r="F47" s="32" t="str">
        <f aca="false">IFERROR(INDEX(Journal!$I$4:$I$503,MATCH(42,$J$6:$J$505,0)),"")</f>
        <v/>
      </c>
      <c r="G47" s="33" t="str">
        <f aca="false">IF(A47="","",G46+N(E47)-N(F47))</f>
        <v/>
      </c>
      <c r="J47" s="34" t="n">
        <f aca="false">IF(Journal!$D45=$B$3,J46+1,J46)</f>
        <v>1</v>
      </c>
    </row>
    <row r="48" customFormat="false" ht="15" hidden="false" customHeight="false" outlineLevel="0" collapsed="false">
      <c r="A48" s="31" t="str">
        <f aca="false">IFERROR(INDEX(Journal!$B$4:$B$503,MATCH(43,$J$6:$J$505,0)),"")</f>
        <v/>
      </c>
      <c r="B48" s="13" t="str">
        <f aca="false">IFERROR(INDEX(Journal!$C$4:$C$503,MATCH(43,$J$6:$J$505,0)),"")</f>
        <v/>
      </c>
      <c r="C48" s="13" t="str">
        <f aca="false">IFERROR(INDEX(Journal!$F$4:$F$503,MATCH(43,$J$6:$J$505,0)),"")</f>
        <v/>
      </c>
      <c r="D48" s="12" t="str">
        <f aca="false">IFERROR(INDEX(Journal!$G$4:$G$503,MATCH(43,$J$6:$J$505,0)),"")</f>
        <v/>
      </c>
      <c r="E48" s="32" t="str">
        <f aca="false">IFERROR(INDEX(Journal!$H$4:$H$503,MATCH(43,$J$6:$J$505,0)),"")</f>
        <v/>
      </c>
      <c r="F48" s="32" t="str">
        <f aca="false">IFERROR(INDEX(Journal!$I$4:$I$503,MATCH(43,$J$6:$J$505,0)),"")</f>
        <v/>
      </c>
      <c r="G48" s="33" t="str">
        <f aca="false">IF(A48="","",G47+N(E48)-N(F48))</f>
        <v/>
      </c>
      <c r="J48" s="34" t="n">
        <f aca="false">IF(Journal!$D46=$B$3,J47+1,J47)</f>
        <v>1</v>
      </c>
    </row>
    <row r="49" customFormat="false" ht="15" hidden="false" customHeight="false" outlineLevel="0" collapsed="false">
      <c r="A49" s="31" t="str">
        <f aca="false">IFERROR(INDEX(Journal!$B$4:$B$503,MATCH(44,$J$6:$J$505,0)),"")</f>
        <v/>
      </c>
      <c r="B49" s="13" t="str">
        <f aca="false">IFERROR(INDEX(Journal!$C$4:$C$503,MATCH(44,$J$6:$J$505,0)),"")</f>
        <v/>
      </c>
      <c r="C49" s="13" t="str">
        <f aca="false">IFERROR(INDEX(Journal!$F$4:$F$503,MATCH(44,$J$6:$J$505,0)),"")</f>
        <v/>
      </c>
      <c r="D49" s="12" t="str">
        <f aca="false">IFERROR(INDEX(Journal!$G$4:$G$503,MATCH(44,$J$6:$J$505,0)),"")</f>
        <v/>
      </c>
      <c r="E49" s="32" t="str">
        <f aca="false">IFERROR(INDEX(Journal!$H$4:$H$503,MATCH(44,$J$6:$J$505,0)),"")</f>
        <v/>
      </c>
      <c r="F49" s="32" t="str">
        <f aca="false">IFERROR(INDEX(Journal!$I$4:$I$503,MATCH(44,$J$6:$J$505,0)),"")</f>
        <v/>
      </c>
      <c r="G49" s="33" t="str">
        <f aca="false">IF(A49="","",G48+N(E49)-N(F49))</f>
        <v/>
      </c>
      <c r="J49" s="34" t="n">
        <f aca="false">IF(Journal!$D47=$B$3,J48+1,J48)</f>
        <v>1</v>
      </c>
    </row>
    <row r="50" customFormat="false" ht="15" hidden="false" customHeight="false" outlineLevel="0" collapsed="false">
      <c r="A50" s="31" t="str">
        <f aca="false">IFERROR(INDEX(Journal!$B$4:$B$503,MATCH(45,$J$6:$J$505,0)),"")</f>
        <v/>
      </c>
      <c r="B50" s="13" t="str">
        <f aca="false">IFERROR(INDEX(Journal!$C$4:$C$503,MATCH(45,$J$6:$J$505,0)),"")</f>
        <v/>
      </c>
      <c r="C50" s="13" t="str">
        <f aca="false">IFERROR(INDEX(Journal!$F$4:$F$503,MATCH(45,$J$6:$J$505,0)),"")</f>
        <v/>
      </c>
      <c r="D50" s="12" t="str">
        <f aca="false">IFERROR(INDEX(Journal!$G$4:$G$503,MATCH(45,$J$6:$J$505,0)),"")</f>
        <v/>
      </c>
      <c r="E50" s="32" t="str">
        <f aca="false">IFERROR(INDEX(Journal!$H$4:$H$503,MATCH(45,$J$6:$J$505,0)),"")</f>
        <v/>
      </c>
      <c r="F50" s="32" t="str">
        <f aca="false">IFERROR(INDEX(Journal!$I$4:$I$503,MATCH(45,$J$6:$J$505,0)),"")</f>
        <v/>
      </c>
      <c r="G50" s="33" t="str">
        <f aca="false">IF(A50="","",G49+N(E50)-N(F50))</f>
        <v/>
      </c>
      <c r="J50" s="34" t="n">
        <f aca="false">IF(Journal!$D48=$B$3,J49+1,J49)</f>
        <v>1</v>
      </c>
    </row>
    <row r="51" customFormat="false" ht="15" hidden="false" customHeight="false" outlineLevel="0" collapsed="false">
      <c r="A51" s="31" t="str">
        <f aca="false">IFERROR(INDEX(Journal!$B$4:$B$503,MATCH(46,$J$6:$J$505,0)),"")</f>
        <v/>
      </c>
      <c r="B51" s="13" t="str">
        <f aca="false">IFERROR(INDEX(Journal!$C$4:$C$503,MATCH(46,$J$6:$J$505,0)),"")</f>
        <v/>
      </c>
      <c r="C51" s="13" t="str">
        <f aca="false">IFERROR(INDEX(Journal!$F$4:$F$503,MATCH(46,$J$6:$J$505,0)),"")</f>
        <v/>
      </c>
      <c r="D51" s="12" t="str">
        <f aca="false">IFERROR(INDEX(Journal!$G$4:$G$503,MATCH(46,$J$6:$J$505,0)),"")</f>
        <v/>
      </c>
      <c r="E51" s="32" t="str">
        <f aca="false">IFERROR(INDEX(Journal!$H$4:$H$503,MATCH(46,$J$6:$J$505,0)),"")</f>
        <v/>
      </c>
      <c r="F51" s="32" t="str">
        <f aca="false">IFERROR(INDEX(Journal!$I$4:$I$503,MATCH(46,$J$6:$J$505,0)),"")</f>
        <v/>
      </c>
      <c r="G51" s="33" t="str">
        <f aca="false">IF(A51="","",G50+N(E51)-N(F51))</f>
        <v/>
      </c>
      <c r="J51" s="34" t="n">
        <f aca="false">IF(Journal!$D49=$B$3,J50+1,J50)</f>
        <v>1</v>
      </c>
    </row>
    <row r="52" customFormat="false" ht="15" hidden="false" customHeight="false" outlineLevel="0" collapsed="false">
      <c r="A52" s="31" t="str">
        <f aca="false">IFERROR(INDEX(Journal!$B$4:$B$503,MATCH(47,$J$6:$J$505,0)),"")</f>
        <v/>
      </c>
      <c r="B52" s="13" t="str">
        <f aca="false">IFERROR(INDEX(Journal!$C$4:$C$503,MATCH(47,$J$6:$J$505,0)),"")</f>
        <v/>
      </c>
      <c r="C52" s="13" t="str">
        <f aca="false">IFERROR(INDEX(Journal!$F$4:$F$503,MATCH(47,$J$6:$J$505,0)),"")</f>
        <v/>
      </c>
      <c r="D52" s="12" t="str">
        <f aca="false">IFERROR(INDEX(Journal!$G$4:$G$503,MATCH(47,$J$6:$J$505,0)),"")</f>
        <v/>
      </c>
      <c r="E52" s="32" t="str">
        <f aca="false">IFERROR(INDEX(Journal!$H$4:$H$503,MATCH(47,$J$6:$J$505,0)),"")</f>
        <v/>
      </c>
      <c r="F52" s="32" t="str">
        <f aca="false">IFERROR(INDEX(Journal!$I$4:$I$503,MATCH(47,$J$6:$J$505,0)),"")</f>
        <v/>
      </c>
      <c r="G52" s="33" t="str">
        <f aca="false">IF(A52="","",G51+N(E52)-N(F52))</f>
        <v/>
      </c>
      <c r="J52" s="34" t="n">
        <f aca="false">IF(Journal!$D50=$B$3,J51+1,J51)</f>
        <v>1</v>
      </c>
    </row>
    <row r="53" customFormat="false" ht="15" hidden="false" customHeight="false" outlineLevel="0" collapsed="false">
      <c r="A53" s="31" t="str">
        <f aca="false">IFERROR(INDEX(Journal!$B$4:$B$503,MATCH(48,$J$6:$J$505,0)),"")</f>
        <v/>
      </c>
      <c r="B53" s="13" t="str">
        <f aca="false">IFERROR(INDEX(Journal!$C$4:$C$503,MATCH(48,$J$6:$J$505,0)),"")</f>
        <v/>
      </c>
      <c r="C53" s="13" t="str">
        <f aca="false">IFERROR(INDEX(Journal!$F$4:$F$503,MATCH(48,$J$6:$J$505,0)),"")</f>
        <v/>
      </c>
      <c r="D53" s="12" t="str">
        <f aca="false">IFERROR(INDEX(Journal!$G$4:$G$503,MATCH(48,$J$6:$J$505,0)),"")</f>
        <v/>
      </c>
      <c r="E53" s="32" t="str">
        <f aca="false">IFERROR(INDEX(Journal!$H$4:$H$503,MATCH(48,$J$6:$J$505,0)),"")</f>
        <v/>
      </c>
      <c r="F53" s="32" t="str">
        <f aca="false">IFERROR(INDEX(Journal!$I$4:$I$503,MATCH(48,$J$6:$J$505,0)),"")</f>
        <v/>
      </c>
      <c r="G53" s="33" t="str">
        <f aca="false">IF(A53="","",G52+N(E53)-N(F53))</f>
        <v/>
      </c>
      <c r="J53" s="34" t="n">
        <f aca="false">IF(Journal!$D51=$B$3,J52+1,J52)</f>
        <v>1</v>
      </c>
    </row>
    <row r="54" customFormat="false" ht="15" hidden="false" customHeight="false" outlineLevel="0" collapsed="false">
      <c r="A54" s="31" t="str">
        <f aca="false">IFERROR(INDEX(Journal!$B$4:$B$503,MATCH(49,$J$6:$J$505,0)),"")</f>
        <v/>
      </c>
      <c r="B54" s="13" t="str">
        <f aca="false">IFERROR(INDEX(Journal!$C$4:$C$503,MATCH(49,$J$6:$J$505,0)),"")</f>
        <v/>
      </c>
      <c r="C54" s="13" t="str">
        <f aca="false">IFERROR(INDEX(Journal!$F$4:$F$503,MATCH(49,$J$6:$J$505,0)),"")</f>
        <v/>
      </c>
      <c r="D54" s="12" t="str">
        <f aca="false">IFERROR(INDEX(Journal!$G$4:$G$503,MATCH(49,$J$6:$J$505,0)),"")</f>
        <v/>
      </c>
      <c r="E54" s="32" t="str">
        <f aca="false">IFERROR(INDEX(Journal!$H$4:$H$503,MATCH(49,$J$6:$J$505,0)),"")</f>
        <v/>
      </c>
      <c r="F54" s="32" t="str">
        <f aca="false">IFERROR(INDEX(Journal!$I$4:$I$503,MATCH(49,$J$6:$J$505,0)),"")</f>
        <v/>
      </c>
      <c r="G54" s="33" t="str">
        <f aca="false">IF(A54="","",G53+N(E54)-N(F54))</f>
        <v/>
      </c>
      <c r="J54" s="34" t="n">
        <f aca="false">IF(Journal!$D52=$B$3,J53+1,J53)</f>
        <v>1</v>
      </c>
    </row>
    <row r="55" customFormat="false" ht="15" hidden="false" customHeight="false" outlineLevel="0" collapsed="false">
      <c r="A55" s="31" t="str">
        <f aca="false">IFERROR(INDEX(Journal!$B$4:$B$503,MATCH(50,$J$6:$J$505,0)),"")</f>
        <v/>
      </c>
      <c r="B55" s="13" t="str">
        <f aca="false">IFERROR(INDEX(Journal!$C$4:$C$503,MATCH(50,$J$6:$J$505,0)),"")</f>
        <v/>
      </c>
      <c r="C55" s="13" t="str">
        <f aca="false">IFERROR(INDEX(Journal!$F$4:$F$503,MATCH(50,$J$6:$J$505,0)),"")</f>
        <v/>
      </c>
      <c r="D55" s="12" t="str">
        <f aca="false">IFERROR(INDEX(Journal!$G$4:$G$503,MATCH(50,$J$6:$J$505,0)),"")</f>
        <v/>
      </c>
      <c r="E55" s="32" t="str">
        <f aca="false">IFERROR(INDEX(Journal!$H$4:$H$503,MATCH(50,$J$6:$J$505,0)),"")</f>
        <v/>
      </c>
      <c r="F55" s="32" t="str">
        <f aca="false">IFERROR(INDEX(Journal!$I$4:$I$503,MATCH(50,$J$6:$J$505,0)),"")</f>
        <v/>
      </c>
      <c r="G55" s="33" t="str">
        <f aca="false">IF(A55="","",G54+N(E55)-N(F55))</f>
        <v/>
      </c>
      <c r="J55" s="34" t="n">
        <f aca="false">IF(Journal!$D53=$B$3,J54+1,J54)</f>
        <v>1</v>
      </c>
    </row>
    <row r="56" customFormat="false" ht="15" hidden="false" customHeight="false" outlineLevel="0" collapsed="false">
      <c r="A56" s="31" t="str">
        <f aca="false">IFERROR(INDEX(Journal!$B$4:$B$503,MATCH(51,$J$6:$J$505,0)),"")</f>
        <v/>
      </c>
      <c r="B56" s="13" t="str">
        <f aca="false">IFERROR(INDEX(Journal!$C$4:$C$503,MATCH(51,$J$6:$J$505,0)),"")</f>
        <v/>
      </c>
      <c r="C56" s="13" t="str">
        <f aca="false">IFERROR(INDEX(Journal!$F$4:$F$503,MATCH(51,$J$6:$J$505,0)),"")</f>
        <v/>
      </c>
      <c r="D56" s="12" t="str">
        <f aca="false">IFERROR(INDEX(Journal!$G$4:$G$503,MATCH(51,$J$6:$J$505,0)),"")</f>
        <v/>
      </c>
      <c r="E56" s="32" t="str">
        <f aca="false">IFERROR(INDEX(Journal!$H$4:$H$503,MATCH(51,$J$6:$J$505,0)),"")</f>
        <v/>
      </c>
      <c r="F56" s="32" t="str">
        <f aca="false">IFERROR(INDEX(Journal!$I$4:$I$503,MATCH(51,$J$6:$J$505,0)),"")</f>
        <v/>
      </c>
      <c r="G56" s="33" t="str">
        <f aca="false">IF(A56="","",G55+N(E56)-N(F56))</f>
        <v/>
      </c>
      <c r="J56" s="34" t="n">
        <f aca="false">IF(Journal!$D54=$B$3,J55+1,J55)</f>
        <v>1</v>
      </c>
    </row>
    <row r="57" customFormat="false" ht="15" hidden="false" customHeight="false" outlineLevel="0" collapsed="false">
      <c r="A57" s="31" t="str">
        <f aca="false">IFERROR(INDEX(Journal!$B$4:$B$503,MATCH(52,$J$6:$J$505,0)),"")</f>
        <v/>
      </c>
      <c r="B57" s="13" t="str">
        <f aca="false">IFERROR(INDEX(Journal!$C$4:$C$503,MATCH(52,$J$6:$J$505,0)),"")</f>
        <v/>
      </c>
      <c r="C57" s="13" t="str">
        <f aca="false">IFERROR(INDEX(Journal!$F$4:$F$503,MATCH(52,$J$6:$J$505,0)),"")</f>
        <v/>
      </c>
      <c r="D57" s="12" t="str">
        <f aca="false">IFERROR(INDEX(Journal!$G$4:$G$503,MATCH(52,$J$6:$J$505,0)),"")</f>
        <v/>
      </c>
      <c r="E57" s="32" t="str">
        <f aca="false">IFERROR(INDEX(Journal!$H$4:$H$503,MATCH(52,$J$6:$J$505,0)),"")</f>
        <v/>
      </c>
      <c r="F57" s="32" t="str">
        <f aca="false">IFERROR(INDEX(Journal!$I$4:$I$503,MATCH(52,$J$6:$J$505,0)),"")</f>
        <v/>
      </c>
      <c r="G57" s="33" t="str">
        <f aca="false">IF(A57="","",G56+N(E57)-N(F57))</f>
        <v/>
      </c>
      <c r="J57" s="34" t="n">
        <f aca="false">IF(Journal!$D55=$B$3,J56+1,J56)</f>
        <v>1</v>
      </c>
    </row>
    <row r="58" customFormat="false" ht="15" hidden="false" customHeight="false" outlineLevel="0" collapsed="false">
      <c r="A58" s="31" t="str">
        <f aca="false">IFERROR(INDEX(Journal!$B$4:$B$503,MATCH(53,$J$6:$J$505,0)),"")</f>
        <v/>
      </c>
      <c r="B58" s="13" t="str">
        <f aca="false">IFERROR(INDEX(Journal!$C$4:$C$503,MATCH(53,$J$6:$J$505,0)),"")</f>
        <v/>
      </c>
      <c r="C58" s="13" t="str">
        <f aca="false">IFERROR(INDEX(Journal!$F$4:$F$503,MATCH(53,$J$6:$J$505,0)),"")</f>
        <v/>
      </c>
      <c r="D58" s="12" t="str">
        <f aca="false">IFERROR(INDEX(Journal!$G$4:$G$503,MATCH(53,$J$6:$J$505,0)),"")</f>
        <v/>
      </c>
      <c r="E58" s="32" t="str">
        <f aca="false">IFERROR(INDEX(Journal!$H$4:$H$503,MATCH(53,$J$6:$J$505,0)),"")</f>
        <v/>
      </c>
      <c r="F58" s="32" t="str">
        <f aca="false">IFERROR(INDEX(Journal!$I$4:$I$503,MATCH(53,$J$6:$J$505,0)),"")</f>
        <v/>
      </c>
      <c r="G58" s="33" t="str">
        <f aca="false">IF(A58="","",G57+N(E58)-N(F58))</f>
        <v/>
      </c>
      <c r="J58" s="34" t="n">
        <f aca="false">IF(Journal!$D56=$B$3,J57+1,J57)</f>
        <v>1</v>
      </c>
    </row>
    <row r="59" customFormat="false" ht="15" hidden="false" customHeight="false" outlineLevel="0" collapsed="false">
      <c r="A59" s="31" t="str">
        <f aca="false">IFERROR(INDEX(Journal!$B$4:$B$503,MATCH(54,$J$6:$J$505,0)),"")</f>
        <v/>
      </c>
      <c r="B59" s="13" t="str">
        <f aca="false">IFERROR(INDEX(Journal!$C$4:$C$503,MATCH(54,$J$6:$J$505,0)),"")</f>
        <v/>
      </c>
      <c r="C59" s="13" t="str">
        <f aca="false">IFERROR(INDEX(Journal!$F$4:$F$503,MATCH(54,$J$6:$J$505,0)),"")</f>
        <v/>
      </c>
      <c r="D59" s="12" t="str">
        <f aca="false">IFERROR(INDEX(Journal!$G$4:$G$503,MATCH(54,$J$6:$J$505,0)),"")</f>
        <v/>
      </c>
      <c r="E59" s="32" t="str">
        <f aca="false">IFERROR(INDEX(Journal!$H$4:$H$503,MATCH(54,$J$6:$J$505,0)),"")</f>
        <v/>
      </c>
      <c r="F59" s="32" t="str">
        <f aca="false">IFERROR(INDEX(Journal!$I$4:$I$503,MATCH(54,$J$6:$J$505,0)),"")</f>
        <v/>
      </c>
      <c r="G59" s="33" t="str">
        <f aca="false">IF(A59="","",G58+N(E59)-N(F59))</f>
        <v/>
      </c>
      <c r="J59" s="34" t="n">
        <f aca="false">IF(Journal!$D57=$B$3,J58+1,J58)</f>
        <v>1</v>
      </c>
    </row>
    <row r="60" customFormat="false" ht="15" hidden="false" customHeight="false" outlineLevel="0" collapsed="false">
      <c r="A60" s="31" t="str">
        <f aca="false">IFERROR(INDEX(Journal!$B$4:$B$503,MATCH(55,$J$6:$J$505,0)),"")</f>
        <v/>
      </c>
      <c r="B60" s="13" t="str">
        <f aca="false">IFERROR(INDEX(Journal!$C$4:$C$503,MATCH(55,$J$6:$J$505,0)),"")</f>
        <v/>
      </c>
      <c r="C60" s="13" t="str">
        <f aca="false">IFERROR(INDEX(Journal!$F$4:$F$503,MATCH(55,$J$6:$J$505,0)),"")</f>
        <v/>
      </c>
      <c r="D60" s="12" t="str">
        <f aca="false">IFERROR(INDEX(Journal!$G$4:$G$503,MATCH(55,$J$6:$J$505,0)),"")</f>
        <v/>
      </c>
      <c r="E60" s="32" t="str">
        <f aca="false">IFERROR(INDEX(Journal!$H$4:$H$503,MATCH(55,$J$6:$J$505,0)),"")</f>
        <v/>
      </c>
      <c r="F60" s="32" t="str">
        <f aca="false">IFERROR(INDEX(Journal!$I$4:$I$503,MATCH(55,$J$6:$J$505,0)),"")</f>
        <v/>
      </c>
      <c r="G60" s="33" t="str">
        <f aca="false">IF(A60="","",G59+N(E60)-N(F60))</f>
        <v/>
      </c>
      <c r="J60" s="34" t="n">
        <f aca="false">IF(Journal!$D58=$B$3,J59+1,J59)</f>
        <v>1</v>
      </c>
    </row>
    <row r="61" customFormat="false" ht="15" hidden="false" customHeight="false" outlineLevel="0" collapsed="false">
      <c r="A61" s="31" t="str">
        <f aca="false">IFERROR(INDEX(Journal!$B$4:$B$503,MATCH(56,$J$6:$J$505,0)),"")</f>
        <v/>
      </c>
      <c r="B61" s="13" t="str">
        <f aca="false">IFERROR(INDEX(Journal!$C$4:$C$503,MATCH(56,$J$6:$J$505,0)),"")</f>
        <v/>
      </c>
      <c r="C61" s="13" t="str">
        <f aca="false">IFERROR(INDEX(Journal!$F$4:$F$503,MATCH(56,$J$6:$J$505,0)),"")</f>
        <v/>
      </c>
      <c r="D61" s="12" t="str">
        <f aca="false">IFERROR(INDEX(Journal!$G$4:$G$503,MATCH(56,$J$6:$J$505,0)),"")</f>
        <v/>
      </c>
      <c r="E61" s="32" t="str">
        <f aca="false">IFERROR(INDEX(Journal!$H$4:$H$503,MATCH(56,$J$6:$J$505,0)),"")</f>
        <v/>
      </c>
      <c r="F61" s="32" t="str">
        <f aca="false">IFERROR(INDEX(Journal!$I$4:$I$503,MATCH(56,$J$6:$J$505,0)),"")</f>
        <v/>
      </c>
      <c r="G61" s="33" t="str">
        <f aca="false">IF(A61="","",G60+N(E61)-N(F61))</f>
        <v/>
      </c>
      <c r="J61" s="34" t="n">
        <f aca="false">IF(Journal!$D59=$B$3,J60+1,J60)</f>
        <v>1</v>
      </c>
    </row>
    <row r="62" customFormat="false" ht="15" hidden="false" customHeight="false" outlineLevel="0" collapsed="false">
      <c r="A62" s="31" t="str">
        <f aca="false">IFERROR(INDEX(Journal!$B$4:$B$503,MATCH(57,$J$6:$J$505,0)),"")</f>
        <v/>
      </c>
      <c r="B62" s="13" t="str">
        <f aca="false">IFERROR(INDEX(Journal!$C$4:$C$503,MATCH(57,$J$6:$J$505,0)),"")</f>
        <v/>
      </c>
      <c r="C62" s="13" t="str">
        <f aca="false">IFERROR(INDEX(Journal!$F$4:$F$503,MATCH(57,$J$6:$J$505,0)),"")</f>
        <v/>
      </c>
      <c r="D62" s="12" t="str">
        <f aca="false">IFERROR(INDEX(Journal!$G$4:$G$503,MATCH(57,$J$6:$J$505,0)),"")</f>
        <v/>
      </c>
      <c r="E62" s="32" t="str">
        <f aca="false">IFERROR(INDEX(Journal!$H$4:$H$503,MATCH(57,$J$6:$J$505,0)),"")</f>
        <v/>
      </c>
      <c r="F62" s="32" t="str">
        <f aca="false">IFERROR(INDEX(Journal!$I$4:$I$503,MATCH(57,$J$6:$J$505,0)),"")</f>
        <v/>
      </c>
      <c r="G62" s="33" t="str">
        <f aca="false">IF(A62="","",G61+N(E62)-N(F62))</f>
        <v/>
      </c>
      <c r="J62" s="34" t="n">
        <f aca="false">IF(Journal!$D60=$B$3,J61+1,J61)</f>
        <v>1</v>
      </c>
    </row>
    <row r="63" customFormat="false" ht="15" hidden="false" customHeight="false" outlineLevel="0" collapsed="false">
      <c r="A63" s="31" t="str">
        <f aca="false">IFERROR(INDEX(Journal!$B$4:$B$503,MATCH(58,$J$6:$J$505,0)),"")</f>
        <v/>
      </c>
      <c r="B63" s="13" t="str">
        <f aca="false">IFERROR(INDEX(Journal!$C$4:$C$503,MATCH(58,$J$6:$J$505,0)),"")</f>
        <v/>
      </c>
      <c r="C63" s="13" t="str">
        <f aca="false">IFERROR(INDEX(Journal!$F$4:$F$503,MATCH(58,$J$6:$J$505,0)),"")</f>
        <v/>
      </c>
      <c r="D63" s="12" t="str">
        <f aca="false">IFERROR(INDEX(Journal!$G$4:$G$503,MATCH(58,$J$6:$J$505,0)),"")</f>
        <v/>
      </c>
      <c r="E63" s="32" t="str">
        <f aca="false">IFERROR(INDEX(Journal!$H$4:$H$503,MATCH(58,$J$6:$J$505,0)),"")</f>
        <v/>
      </c>
      <c r="F63" s="32" t="str">
        <f aca="false">IFERROR(INDEX(Journal!$I$4:$I$503,MATCH(58,$J$6:$J$505,0)),"")</f>
        <v/>
      </c>
      <c r="G63" s="33" t="str">
        <f aca="false">IF(A63="","",G62+N(E63)-N(F63))</f>
        <v/>
      </c>
      <c r="J63" s="34" t="n">
        <f aca="false">IF(Journal!$D61=$B$3,J62+1,J62)</f>
        <v>1</v>
      </c>
    </row>
    <row r="64" customFormat="false" ht="15" hidden="false" customHeight="false" outlineLevel="0" collapsed="false">
      <c r="A64" s="31" t="str">
        <f aca="false">IFERROR(INDEX(Journal!$B$4:$B$503,MATCH(59,$J$6:$J$505,0)),"")</f>
        <v/>
      </c>
      <c r="B64" s="13" t="str">
        <f aca="false">IFERROR(INDEX(Journal!$C$4:$C$503,MATCH(59,$J$6:$J$505,0)),"")</f>
        <v/>
      </c>
      <c r="C64" s="13" t="str">
        <f aca="false">IFERROR(INDEX(Journal!$F$4:$F$503,MATCH(59,$J$6:$J$505,0)),"")</f>
        <v/>
      </c>
      <c r="D64" s="12" t="str">
        <f aca="false">IFERROR(INDEX(Journal!$G$4:$G$503,MATCH(59,$J$6:$J$505,0)),"")</f>
        <v/>
      </c>
      <c r="E64" s="32" t="str">
        <f aca="false">IFERROR(INDEX(Journal!$H$4:$H$503,MATCH(59,$J$6:$J$505,0)),"")</f>
        <v/>
      </c>
      <c r="F64" s="32" t="str">
        <f aca="false">IFERROR(INDEX(Journal!$I$4:$I$503,MATCH(59,$J$6:$J$505,0)),"")</f>
        <v/>
      </c>
      <c r="G64" s="33" t="str">
        <f aca="false">IF(A64="","",G63+N(E64)-N(F64))</f>
        <v/>
      </c>
      <c r="J64" s="34" t="n">
        <f aca="false">IF(Journal!$D62=$B$3,J63+1,J63)</f>
        <v>1</v>
      </c>
    </row>
    <row r="65" customFormat="false" ht="15" hidden="false" customHeight="false" outlineLevel="0" collapsed="false">
      <c r="A65" s="31" t="str">
        <f aca="false">IFERROR(INDEX(Journal!$B$4:$B$503,MATCH(60,$J$6:$J$505,0)),"")</f>
        <v/>
      </c>
      <c r="B65" s="13" t="str">
        <f aca="false">IFERROR(INDEX(Journal!$C$4:$C$503,MATCH(60,$J$6:$J$505,0)),"")</f>
        <v/>
      </c>
      <c r="C65" s="13" t="str">
        <f aca="false">IFERROR(INDEX(Journal!$F$4:$F$503,MATCH(60,$J$6:$J$505,0)),"")</f>
        <v/>
      </c>
      <c r="D65" s="12" t="str">
        <f aca="false">IFERROR(INDEX(Journal!$G$4:$G$503,MATCH(60,$J$6:$J$505,0)),"")</f>
        <v/>
      </c>
      <c r="E65" s="32" t="str">
        <f aca="false">IFERROR(INDEX(Journal!$H$4:$H$503,MATCH(60,$J$6:$J$505,0)),"")</f>
        <v/>
      </c>
      <c r="F65" s="32" t="str">
        <f aca="false">IFERROR(INDEX(Journal!$I$4:$I$503,MATCH(60,$J$6:$J$505,0)),"")</f>
        <v/>
      </c>
      <c r="G65" s="33" t="str">
        <f aca="false">IF(A65="","",G64+N(E65)-N(F65))</f>
        <v/>
      </c>
      <c r="J65" s="34" t="n">
        <f aca="false">IF(Journal!$D63=$B$3,J64+1,J64)</f>
        <v>1</v>
      </c>
    </row>
    <row r="66" customFormat="false" ht="15" hidden="false" customHeight="false" outlineLevel="0" collapsed="false">
      <c r="A66" s="31" t="str">
        <f aca="false">IFERROR(INDEX(Journal!$B$4:$B$503,MATCH(61,$J$6:$J$505,0)),"")</f>
        <v/>
      </c>
      <c r="B66" s="13" t="str">
        <f aca="false">IFERROR(INDEX(Journal!$C$4:$C$503,MATCH(61,$J$6:$J$505,0)),"")</f>
        <v/>
      </c>
      <c r="C66" s="13" t="str">
        <f aca="false">IFERROR(INDEX(Journal!$F$4:$F$503,MATCH(61,$J$6:$J$505,0)),"")</f>
        <v/>
      </c>
      <c r="D66" s="12" t="str">
        <f aca="false">IFERROR(INDEX(Journal!$G$4:$G$503,MATCH(61,$J$6:$J$505,0)),"")</f>
        <v/>
      </c>
      <c r="E66" s="32" t="str">
        <f aca="false">IFERROR(INDEX(Journal!$H$4:$H$503,MATCH(61,$J$6:$J$505,0)),"")</f>
        <v/>
      </c>
      <c r="F66" s="32" t="str">
        <f aca="false">IFERROR(INDEX(Journal!$I$4:$I$503,MATCH(61,$J$6:$J$505,0)),"")</f>
        <v/>
      </c>
      <c r="G66" s="33" t="str">
        <f aca="false">IF(A66="","",G65+N(E66)-N(F66))</f>
        <v/>
      </c>
      <c r="J66" s="34" t="n">
        <f aca="false">IF(Journal!$D64=$B$3,J65+1,J65)</f>
        <v>1</v>
      </c>
    </row>
    <row r="67" customFormat="false" ht="15" hidden="false" customHeight="false" outlineLevel="0" collapsed="false">
      <c r="A67" s="31" t="str">
        <f aca="false">IFERROR(INDEX(Journal!$B$4:$B$503,MATCH(62,$J$6:$J$505,0)),"")</f>
        <v/>
      </c>
      <c r="B67" s="13" t="str">
        <f aca="false">IFERROR(INDEX(Journal!$C$4:$C$503,MATCH(62,$J$6:$J$505,0)),"")</f>
        <v/>
      </c>
      <c r="C67" s="13" t="str">
        <f aca="false">IFERROR(INDEX(Journal!$F$4:$F$503,MATCH(62,$J$6:$J$505,0)),"")</f>
        <v/>
      </c>
      <c r="D67" s="12" t="str">
        <f aca="false">IFERROR(INDEX(Journal!$G$4:$G$503,MATCH(62,$J$6:$J$505,0)),"")</f>
        <v/>
      </c>
      <c r="E67" s="32" t="str">
        <f aca="false">IFERROR(INDEX(Journal!$H$4:$H$503,MATCH(62,$J$6:$J$505,0)),"")</f>
        <v/>
      </c>
      <c r="F67" s="32" t="str">
        <f aca="false">IFERROR(INDEX(Journal!$I$4:$I$503,MATCH(62,$J$6:$J$505,0)),"")</f>
        <v/>
      </c>
      <c r="G67" s="33" t="str">
        <f aca="false">IF(A67="","",G66+N(E67)-N(F67))</f>
        <v/>
      </c>
      <c r="J67" s="34" t="n">
        <f aca="false">IF(Journal!$D65=$B$3,J66+1,J66)</f>
        <v>1</v>
      </c>
    </row>
    <row r="68" customFormat="false" ht="15" hidden="false" customHeight="false" outlineLevel="0" collapsed="false">
      <c r="A68" s="31" t="str">
        <f aca="false">IFERROR(INDEX(Journal!$B$4:$B$503,MATCH(63,$J$6:$J$505,0)),"")</f>
        <v/>
      </c>
      <c r="B68" s="13" t="str">
        <f aca="false">IFERROR(INDEX(Journal!$C$4:$C$503,MATCH(63,$J$6:$J$505,0)),"")</f>
        <v/>
      </c>
      <c r="C68" s="13" t="str">
        <f aca="false">IFERROR(INDEX(Journal!$F$4:$F$503,MATCH(63,$J$6:$J$505,0)),"")</f>
        <v/>
      </c>
      <c r="D68" s="12" t="str">
        <f aca="false">IFERROR(INDEX(Journal!$G$4:$G$503,MATCH(63,$J$6:$J$505,0)),"")</f>
        <v/>
      </c>
      <c r="E68" s="32" t="str">
        <f aca="false">IFERROR(INDEX(Journal!$H$4:$H$503,MATCH(63,$J$6:$J$505,0)),"")</f>
        <v/>
      </c>
      <c r="F68" s="32" t="str">
        <f aca="false">IFERROR(INDEX(Journal!$I$4:$I$503,MATCH(63,$J$6:$J$505,0)),"")</f>
        <v/>
      </c>
      <c r="G68" s="33" t="str">
        <f aca="false">IF(A68="","",G67+N(E68)-N(F68))</f>
        <v/>
      </c>
      <c r="J68" s="34" t="n">
        <f aca="false">IF(Journal!$D66=$B$3,J67+1,J67)</f>
        <v>1</v>
      </c>
    </row>
    <row r="69" customFormat="false" ht="15" hidden="false" customHeight="false" outlineLevel="0" collapsed="false">
      <c r="A69" s="31" t="str">
        <f aca="false">IFERROR(INDEX(Journal!$B$4:$B$503,MATCH(64,$J$6:$J$505,0)),"")</f>
        <v/>
      </c>
      <c r="B69" s="13" t="str">
        <f aca="false">IFERROR(INDEX(Journal!$C$4:$C$503,MATCH(64,$J$6:$J$505,0)),"")</f>
        <v/>
      </c>
      <c r="C69" s="13" t="str">
        <f aca="false">IFERROR(INDEX(Journal!$F$4:$F$503,MATCH(64,$J$6:$J$505,0)),"")</f>
        <v/>
      </c>
      <c r="D69" s="12" t="str">
        <f aca="false">IFERROR(INDEX(Journal!$G$4:$G$503,MATCH(64,$J$6:$J$505,0)),"")</f>
        <v/>
      </c>
      <c r="E69" s="32" t="str">
        <f aca="false">IFERROR(INDEX(Journal!$H$4:$H$503,MATCH(64,$J$6:$J$505,0)),"")</f>
        <v/>
      </c>
      <c r="F69" s="32" t="str">
        <f aca="false">IFERROR(INDEX(Journal!$I$4:$I$503,MATCH(64,$J$6:$J$505,0)),"")</f>
        <v/>
      </c>
      <c r="G69" s="33" t="str">
        <f aca="false">IF(A69="","",G68+N(E69)-N(F69))</f>
        <v/>
      </c>
      <c r="J69" s="34" t="n">
        <f aca="false">IF(Journal!$D67=$B$3,J68+1,J68)</f>
        <v>1</v>
      </c>
    </row>
    <row r="70" customFormat="false" ht="15" hidden="false" customHeight="false" outlineLevel="0" collapsed="false">
      <c r="A70" s="31" t="str">
        <f aca="false">IFERROR(INDEX(Journal!$B$4:$B$503,MATCH(65,$J$6:$J$505,0)),"")</f>
        <v/>
      </c>
      <c r="B70" s="13" t="str">
        <f aca="false">IFERROR(INDEX(Journal!$C$4:$C$503,MATCH(65,$J$6:$J$505,0)),"")</f>
        <v/>
      </c>
      <c r="C70" s="13" t="str">
        <f aca="false">IFERROR(INDEX(Journal!$F$4:$F$503,MATCH(65,$J$6:$J$505,0)),"")</f>
        <v/>
      </c>
      <c r="D70" s="12" t="str">
        <f aca="false">IFERROR(INDEX(Journal!$G$4:$G$503,MATCH(65,$J$6:$J$505,0)),"")</f>
        <v/>
      </c>
      <c r="E70" s="32" t="str">
        <f aca="false">IFERROR(INDEX(Journal!$H$4:$H$503,MATCH(65,$J$6:$J$505,0)),"")</f>
        <v/>
      </c>
      <c r="F70" s="32" t="str">
        <f aca="false">IFERROR(INDEX(Journal!$I$4:$I$503,MATCH(65,$J$6:$J$505,0)),"")</f>
        <v/>
      </c>
      <c r="G70" s="33" t="str">
        <f aca="false">IF(A70="","",G69+N(E70)-N(F70))</f>
        <v/>
      </c>
      <c r="J70" s="34" t="n">
        <f aca="false">IF(Journal!$D68=$B$3,J69+1,J69)</f>
        <v>1</v>
      </c>
    </row>
    <row r="71" customFormat="false" ht="15" hidden="false" customHeight="false" outlineLevel="0" collapsed="false">
      <c r="A71" s="31" t="str">
        <f aca="false">IFERROR(INDEX(Journal!$B$4:$B$503,MATCH(66,$J$6:$J$505,0)),"")</f>
        <v/>
      </c>
      <c r="B71" s="13" t="str">
        <f aca="false">IFERROR(INDEX(Journal!$C$4:$C$503,MATCH(66,$J$6:$J$505,0)),"")</f>
        <v/>
      </c>
      <c r="C71" s="13" t="str">
        <f aca="false">IFERROR(INDEX(Journal!$F$4:$F$503,MATCH(66,$J$6:$J$505,0)),"")</f>
        <v/>
      </c>
      <c r="D71" s="12" t="str">
        <f aca="false">IFERROR(INDEX(Journal!$G$4:$G$503,MATCH(66,$J$6:$J$505,0)),"")</f>
        <v/>
      </c>
      <c r="E71" s="32" t="str">
        <f aca="false">IFERROR(INDEX(Journal!$H$4:$H$503,MATCH(66,$J$6:$J$505,0)),"")</f>
        <v/>
      </c>
      <c r="F71" s="32" t="str">
        <f aca="false">IFERROR(INDEX(Journal!$I$4:$I$503,MATCH(66,$J$6:$J$505,0)),"")</f>
        <v/>
      </c>
      <c r="G71" s="33" t="str">
        <f aca="false">IF(A71="","",G70+N(E71)-N(F71))</f>
        <v/>
      </c>
      <c r="J71" s="34" t="n">
        <f aca="false">IF(Journal!$D69=$B$3,J70+1,J70)</f>
        <v>1</v>
      </c>
    </row>
    <row r="72" customFormat="false" ht="15" hidden="false" customHeight="false" outlineLevel="0" collapsed="false">
      <c r="A72" s="31" t="str">
        <f aca="false">IFERROR(INDEX(Journal!$B$4:$B$503,MATCH(67,$J$6:$J$505,0)),"")</f>
        <v/>
      </c>
      <c r="B72" s="13" t="str">
        <f aca="false">IFERROR(INDEX(Journal!$C$4:$C$503,MATCH(67,$J$6:$J$505,0)),"")</f>
        <v/>
      </c>
      <c r="C72" s="13" t="str">
        <f aca="false">IFERROR(INDEX(Journal!$F$4:$F$503,MATCH(67,$J$6:$J$505,0)),"")</f>
        <v/>
      </c>
      <c r="D72" s="12" t="str">
        <f aca="false">IFERROR(INDEX(Journal!$G$4:$G$503,MATCH(67,$J$6:$J$505,0)),"")</f>
        <v/>
      </c>
      <c r="E72" s="32" t="str">
        <f aca="false">IFERROR(INDEX(Journal!$H$4:$H$503,MATCH(67,$J$6:$J$505,0)),"")</f>
        <v/>
      </c>
      <c r="F72" s="32" t="str">
        <f aca="false">IFERROR(INDEX(Journal!$I$4:$I$503,MATCH(67,$J$6:$J$505,0)),"")</f>
        <v/>
      </c>
      <c r="G72" s="33" t="str">
        <f aca="false">IF(A72="","",G71+N(E72)-N(F72))</f>
        <v/>
      </c>
      <c r="J72" s="34" t="n">
        <f aca="false">IF(Journal!$D70=$B$3,J71+1,J71)</f>
        <v>1</v>
      </c>
    </row>
    <row r="73" customFormat="false" ht="15" hidden="false" customHeight="false" outlineLevel="0" collapsed="false">
      <c r="A73" s="31" t="str">
        <f aca="false">IFERROR(INDEX(Journal!$B$4:$B$503,MATCH(68,$J$6:$J$505,0)),"")</f>
        <v/>
      </c>
      <c r="B73" s="13" t="str">
        <f aca="false">IFERROR(INDEX(Journal!$C$4:$C$503,MATCH(68,$J$6:$J$505,0)),"")</f>
        <v/>
      </c>
      <c r="C73" s="13" t="str">
        <f aca="false">IFERROR(INDEX(Journal!$F$4:$F$503,MATCH(68,$J$6:$J$505,0)),"")</f>
        <v/>
      </c>
      <c r="D73" s="12" t="str">
        <f aca="false">IFERROR(INDEX(Journal!$G$4:$G$503,MATCH(68,$J$6:$J$505,0)),"")</f>
        <v/>
      </c>
      <c r="E73" s="32" t="str">
        <f aca="false">IFERROR(INDEX(Journal!$H$4:$H$503,MATCH(68,$J$6:$J$505,0)),"")</f>
        <v/>
      </c>
      <c r="F73" s="32" t="str">
        <f aca="false">IFERROR(INDEX(Journal!$I$4:$I$503,MATCH(68,$J$6:$J$505,0)),"")</f>
        <v/>
      </c>
      <c r="G73" s="33" t="str">
        <f aca="false">IF(A73="","",G72+N(E73)-N(F73))</f>
        <v/>
      </c>
      <c r="J73" s="34" t="n">
        <f aca="false">IF(Journal!$D71=$B$3,J72+1,J72)</f>
        <v>1</v>
      </c>
    </row>
    <row r="74" customFormat="false" ht="15" hidden="false" customHeight="false" outlineLevel="0" collapsed="false">
      <c r="A74" s="31" t="str">
        <f aca="false">IFERROR(INDEX(Journal!$B$4:$B$503,MATCH(69,$J$6:$J$505,0)),"")</f>
        <v/>
      </c>
      <c r="B74" s="13" t="str">
        <f aca="false">IFERROR(INDEX(Journal!$C$4:$C$503,MATCH(69,$J$6:$J$505,0)),"")</f>
        <v/>
      </c>
      <c r="C74" s="13" t="str">
        <f aca="false">IFERROR(INDEX(Journal!$F$4:$F$503,MATCH(69,$J$6:$J$505,0)),"")</f>
        <v/>
      </c>
      <c r="D74" s="12" t="str">
        <f aca="false">IFERROR(INDEX(Journal!$G$4:$G$503,MATCH(69,$J$6:$J$505,0)),"")</f>
        <v/>
      </c>
      <c r="E74" s="32" t="str">
        <f aca="false">IFERROR(INDEX(Journal!$H$4:$H$503,MATCH(69,$J$6:$J$505,0)),"")</f>
        <v/>
      </c>
      <c r="F74" s="32" t="str">
        <f aca="false">IFERROR(INDEX(Journal!$I$4:$I$503,MATCH(69,$J$6:$J$505,0)),"")</f>
        <v/>
      </c>
      <c r="G74" s="33" t="str">
        <f aca="false">IF(A74="","",G73+N(E74)-N(F74))</f>
        <v/>
      </c>
      <c r="J74" s="34" t="n">
        <f aca="false">IF(Journal!$D72=$B$3,J73+1,J73)</f>
        <v>1</v>
      </c>
    </row>
    <row r="75" customFormat="false" ht="15" hidden="false" customHeight="false" outlineLevel="0" collapsed="false">
      <c r="A75" s="31" t="str">
        <f aca="false">IFERROR(INDEX(Journal!$B$4:$B$503,MATCH(70,$J$6:$J$505,0)),"")</f>
        <v/>
      </c>
      <c r="B75" s="13" t="str">
        <f aca="false">IFERROR(INDEX(Journal!$C$4:$C$503,MATCH(70,$J$6:$J$505,0)),"")</f>
        <v/>
      </c>
      <c r="C75" s="13" t="str">
        <f aca="false">IFERROR(INDEX(Journal!$F$4:$F$503,MATCH(70,$J$6:$J$505,0)),"")</f>
        <v/>
      </c>
      <c r="D75" s="12" t="str">
        <f aca="false">IFERROR(INDEX(Journal!$G$4:$G$503,MATCH(70,$J$6:$J$505,0)),"")</f>
        <v/>
      </c>
      <c r="E75" s="32" t="str">
        <f aca="false">IFERROR(INDEX(Journal!$H$4:$H$503,MATCH(70,$J$6:$J$505,0)),"")</f>
        <v/>
      </c>
      <c r="F75" s="32" t="str">
        <f aca="false">IFERROR(INDEX(Journal!$I$4:$I$503,MATCH(70,$J$6:$J$505,0)),"")</f>
        <v/>
      </c>
      <c r="G75" s="33" t="str">
        <f aca="false">IF(A75="","",G74+N(E75)-N(F75))</f>
        <v/>
      </c>
      <c r="J75" s="34" t="n">
        <f aca="false">IF(Journal!$D73=$B$3,J74+1,J74)</f>
        <v>1</v>
      </c>
    </row>
    <row r="76" customFormat="false" ht="15" hidden="false" customHeight="false" outlineLevel="0" collapsed="false">
      <c r="A76" s="31" t="str">
        <f aca="false">IFERROR(INDEX(Journal!$B$4:$B$503,MATCH(71,$J$6:$J$505,0)),"")</f>
        <v/>
      </c>
      <c r="B76" s="13" t="str">
        <f aca="false">IFERROR(INDEX(Journal!$C$4:$C$503,MATCH(71,$J$6:$J$505,0)),"")</f>
        <v/>
      </c>
      <c r="C76" s="13" t="str">
        <f aca="false">IFERROR(INDEX(Journal!$F$4:$F$503,MATCH(71,$J$6:$J$505,0)),"")</f>
        <v/>
      </c>
      <c r="D76" s="12" t="str">
        <f aca="false">IFERROR(INDEX(Journal!$G$4:$G$503,MATCH(71,$J$6:$J$505,0)),"")</f>
        <v/>
      </c>
      <c r="E76" s="32" t="str">
        <f aca="false">IFERROR(INDEX(Journal!$H$4:$H$503,MATCH(71,$J$6:$J$505,0)),"")</f>
        <v/>
      </c>
      <c r="F76" s="32" t="str">
        <f aca="false">IFERROR(INDEX(Journal!$I$4:$I$503,MATCH(71,$J$6:$J$505,0)),"")</f>
        <v/>
      </c>
      <c r="G76" s="33" t="str">
        <f aca="false">IF(A76="","",G75+N(E76)-N(F76))</f>
        <v/>
      </c>
      <c r="J76" s="34" t="n">
        <f aca="false">IF(Journal!$D74=$B$3,J75+1,J75)</f>
        <v>1</v>
      </c>
    </row>
    <row r="77" customFormat="false" ht="15" hidden="false" customHeight="false" outlineLevel="0" collapsed="false">
      <c r="A77" s="31" t="str">
        <f aca="false">IFERROR(INDEX(Journal!$B$4:$B$503,MATCH(72,$J$6:$J$505,0)),"")</f>
        <v/>
      </c>
      <c r="B77" s="13" t="str">
        <f aca="false">IFERROR(INDEX(Journal!$C$4:$C$503,MATCH(72,$J$6:$J$505,0)),"")</f>
        <v/>
      </c>
      <c r="C77" s="13" t="str">
        <f aca="false">IFERROR(INDEX(Journal!$F$4:$F$503,MATCH(72,$J$6:$J$505,0)),"")</f>
        <v/>
      </c>
      <c r="D77" s="12" t="str">
        <f aca="false">IFERROR(INDEX(Journal!$G$4:$G$503,MATCH(72,$J$6:$J$505,0)),"")</f>
        <v/>
      </c>
      <c r="E77" s="32" t="str">
        <f aca="false">IFERROR(INDEX(Journal!$H$4:$H$503,MATCH(72,$J$6:$J$505,0)),"")</f>
        <v/>
      </c>
      <c r="F77" s="32" t="str">
        <f aca="false">IFERROR(INDEX(Journal!$I$4:$I$503,MATCH(72,$J$6:$J$505,0)),"")</f>
        <v/>
      </c>
      <c r="G77" s="33" t="str">
        <f aca="false">IF(A77="","",G76+N(E77)-N(F77))</f>
        <v/>
      </c>
      <c r="J77" s="34" t="n">
        <f aca="false">IF(Journal!$D75=$B$3,J76+1,J76)</f>
        <v>1</v>
      </c>
    </row>
    <row r="78" customFormat="false" ht="15" hidden="false" customHeight="false" outlineLevel="0" collapsed="false">
      <c r="A78" s="31" t="str">
        <f aca="false">IFERROR(INDEX(Journal!$B$4:$B$503,MATCH(73,$J$6:$J$505,0)),"")</f>
        <v/>
      </c>
      <c r="B78" s="13" t="str">
        <f aca="false">IFERROR(INDEX(Journal!$C$4:$C$503,MATCH(73,$J$6:$J$505,0)),"")</f>
        <v/>
      </c>
      <c r="C78" s="13" t="str">
        <f aca="false">IFERROR(INDEX(Journal!$F$4:$F$503,MATCH(73,$J$6:$J$505,0)),"")</f>
        <v/>
      </c>
      <c r="D78" s="12" t="str">
        <f aca="false">IFERROR(INDEX(Journal!$G$4:$G$503,MATCH(73,$J$6:$J$505,0)),"")</f>
        <v/>
      </c>
      <c r="E78" s="32" t="str">
        <f aca="false">IFERROR(INDEX(Journal!$H$4:$H$503,MATCH(73,$J$6:$J$505,0)),"")</f>
        <v/>
      </c>
      <c r="F78" s="32" t="str">
        <f aca="false">IFERROR(INDEX(Journal!$I$4:$I$503,MATCH(73,$J$6:$J$505,0)),"")</f>
        <v/>
      </c>
      <c r="G78" s="33" t="str">
        <f aca="false">IF(A78="","",G77+N(E78)-N(F78))</f>
        <v/>
      </c>
      <c r="J78" s="34" t="n">
        <f aca="false">IF(Journal!$D76=$B$3,J77+1,J77)</f>
        <v>1</v>
      </c>
    </row>
    <row r="79" customFormat="false" ht="15" hidden="false" customHeight="false" outlineLevel="0" collapsed="false">
      <c r="A79" s="31" t="str">
        <f aca="false">IFERROR(INDEX(Journal!$B$4:$B$503,MATCH(74,$J$6:$J$505,0)),"")</f>
        <v/>
      </c>
      <c r="B79" s="13" t="str">
        <f aca="false">IFERROR(INDEX(Journal!$C$4:$C$503,MATCH(74,$J$6:$J$505,0)),"")</f>
        <v/>
      </c>
      <c r="C79" s="13" t="str">
        <f aca="false">IFERROR(INDEX(Journal!$F$4:$F$503,MATCH(74,$J$6:$J$505,0)),"")</f>
        <v/>
      </c>
      <c r="D79" s="12" t="str">
        <f aca="false">IFERROR(INDEX(Journal!$G$4:$G$503,MATCH(74,$J$6:$J$505,0)),"")</f>
        <v/>
      </c>
      <c r="E79" s="32" t="str">
        <f aca="false">IFERROR(INDEX(Journal!$H$4:$H$503,MATCH(74,$J$6:$J$505,0)),"")</f>
        <v/>
      </c>
      <c r="F79" s="32" t="str">
        <f aca="false">IFERROR(INDEX(Journal!$I$4:$I$503,MATCH(74,$J$6:$J$505,0)),"")</f>
        <v/>
      </c>
      <c r="G79" s="33" t="str">
        <f aca="false">IF(A79="","",G78+N(E79)-N(F79))</f>
        <v/>
      </c>
      <c r="J79" s="34" t="n">
        <f aca="false">IF(Journal!$D77=$B$3,J78+1,J78)</f>
        <v>1</v>
      </c>
    </row>
    <row r="80" customFormat="false" ht="15" hidden="false" customHeight="false" outlineLevel="0" collapsed="false">
      <c r="A80" s="31" t="str">
        <f aca="false">IFERROR(INDEX(Journal!$B$4:$B$503,MATCH(75,$J$6:$J$505,0)),"")</f>
        <v/>
      </c>
      <c r="B80" s="13" t="str">
        <f aca="false">IFERROR(INDEX(Journal!$C$4:$C$503,MATCH(75,$J$6:$J$505,0)),"")</f>
        <v/>
      </c>
      <c r="C80" s="13" t="str">
        <f aca="false">IFERROR(INDEX(Journal!$F$4:$F$503,MATCH(75,$J$6:$J$505,0)),"")</f>
        <v/>
      </c>
      <c r="D80" s="12" t="str">
        <f aca="false">IFERROR(INDEX(Journal!$G$4:$G$503,MATCH(75,$J$6:$J$505,0)),"")</f>
        <v/>
      </c>
      <c r="E80" s="32" t="str">
        <f aca="false">IFERROR(INDEX(Journal!$H$4:$H$503,MATCH(75,$J$6:$J$505,0)),"")</f>
        <v/>
      </c>
      <c r="F80" s="32" t="str">
        <f aca="false">IFERROR(INDEX(Journal!$I$4:$I$503,MATCH(75,$J$6:$J$505,0)),"")</f>
        <v/>
      </c>
      <c r="G80" s="33" t="str">
        <f aca="false">IF(A80="","",G79+N(E80)-N(F80))</f>
        <v/>
      </c>
      <c r="J80" s="34" t="n">
        <f aca="false">IF(Journal!$D78=$B$3,J79+1,J79)</f>
        <v>1</v>
      </c>
    </row>
    <row r="81" customFormat="false" ht="15" hidden="false" customHeight="false" outlineLevel="0" collapsed="false">
      <c r="A81" s="31" t="str">
        <f aca="false">IFERROR(INDEX(Journal!$B$4:$B$503,MATCH(76,$J$6:$J$505,0)),"")</f>
        <v/>
      </c>
      <c r="B81" s="13" t="str">
        <f aca="false">IFERROR(INDEX(Journal!$C$4:$C$503,MATCH(76,$J$6:$J$505,0)),"")</f>
        <v/>
      </c>
      <c r="C81" s="13" t="str">
        <f aca="false">IFERROR(INDEX(Journal!$F$4:$F$503,MATCH(76,$J$6:$J$505,0)),"")</f>
        <v/>
      </c>
      <c r="D81" s="12" t="str">
        <f aca="false">IFERROR(INDEX(Journal!$G$4:$G$503,MATCH(76,$J$6:$J$505,0)),"")</f>
        <v/>
      </c>
      <c r="E81" s="32" t="str">
        <f aca="false">IFERROR(INDEX(Journal!$H$4:$H$503,MATCH(76,$J$6:$J$505,0)),"")</f>
        <v/>
      </c>
      <c r="F81" s="32" t="str">
        <f aca="false">IFERROR(INDEX(Journal!$I$4:$I$503,MATCH(76,$J$6:$J$505,0)),"")</f>
        <v/>
      </c>
      <c r="G81" s="33" t="str">
        <f aca="false">IF(A81="","",G80+N(E81)-N(F81))</f>
        <v/>
      </c>
      <c r="J81" s="34" t="n">
        <f aca="false">IF(Journal!$D79=$B$3,J80+1,J80)</f>
        <v>1</v>
      </c>
    </row>
    <row r="82" customFormat="false" ht="15" hidden="false" customHeight="false" outlineLevel="0" collapsed="false">
      <c r="A82" s="31" t="str">
        <f aca="false">IFERROR(INDEX(Journal!$B$4:$B$503,MATCH(77,$J$6:$J$505,0)),"")</f>
        <v/>
      </c>
      <c r="B82" s="13" t="str">
        <f aca="false">IFERROR(INDEX(Journal!$C$4:$C$503,MATCH(77,$J$6:$J$505,0)),"")</f>
        <v/>
      </c>
      <c r="C82" s="13" t="str">
        <f aca="false">IFERROR(INDEX(Journal!$F$4:$F$503,MATCH(77,$J$6:$J$505,0)),"")</f>
        <v/>
      </c>
      <c r="D82" s="12" t="str">
        <f aca="false">IFERROR(INDEX(Journal!$G$4:$G$503,MATCH(77,$J$6:$J$505,0)),"")</f>
        <v/>
      </c>
      <c r="E82" s="32" t="str">
        <f aca="false">IFERROR(INDEX(Journal!$H$4:$H$503,MATCH(77,$J$6:$J$505,0)),"")</f>
        <v/>
      </c>
      <c r="F82" s="32" t="str">
        <f aca="false">IFERROR(INDEX(Journal!$I$4:$I$503,MATCH(77,$J$6:$J$505,0)),"")</f>
        <v/>
      </c>
      <c r="G82" s="33" t="str">
        <f aca="false">IF(A82="","",G81+N(E82)-N(F82))</f>
        <v/>
      </c>
      <c r="J82" s="34" t="n">
        <f aca="false">IF(Journal!$D80=$B$3,J81+1,J81)</f>
        <v>1</v>
      </c>
    </row>
    <row r="83" customFormat="false" ht="15" hidden="false" customHeight="false" outlineLevel="0" collapsed="false">
      <c r="A83" s="31" t="str">
        <f aca="false">IFERROR(INDEX(Journal!$B$4:$B$503,MATCH(78,$J$6:$J$505,0)),"")</f>
        <v/>
      </c>
      <c r="B83" s="13" t="str">
        <f aca="false">IFERROR(INDEX(Journal!$C$4:$C$503,MATCH(78,$J$6:$J$505,0)),"")</f>
        <v/>
      </c>
      <c r="C83" s="13" t="str">
        <f aca="false">IFERROR(INDEX(Journal!$F$4:$F$503,MATCH(78,$J$6:$J$505,0)),"")</f>
        <v/>
      </c>
      <c r="D83" s="12" t="str">
        <f aca="false">IFERROR(INDEX(Journal!$G$4:$G$503,MATCH(78,$J$6:$J$505,0)),"")</f>
        <v/>
      </c>
      <c r="E83" s="32" t="str">
        <f aca="false">IFERROR(INDEX(Journal!$H$4:$H$503,MATCH(78,$J$6:$J$505,0)),"")</f>
        <v/>
      </c>
      <c r="F83" s="32" t="str">
        <f aca="false">IFERROR(INDEX(Journal!$I$4:$I$503,MATCH(78,$J$6:$J$505,0)),"")</f>
        <v/>
      </c>
      <c r="G83" s="33" t="str">
        <f aca="false">IF(A83="","",G82+N(E83)-N(F83))</f>
        <v/>
      </c>
      <c r="J83" s="34" t="n">
        <f aca="false">IF(Journal!$D81=$B$3,J82+1,J82)</f>
        <v>1</v>
      </c>
    </row>
    <row r="84" customFormat="false" ht="15" hidden="false" customHeight="false" outlineLevel="0" collapsed="false">
      <c r="A84" s="31" t="str">
        <f aca="false">IFERROR(INDEX(Journal!$B$4:$B$503,MATCH(79,$J$6:$J$505,0)),"")</f>
        <v/>
      </c>
      <c r="B84" s="13" t="str">
        <f aca="false">IFERROR(INDEX(Journal!$C$4:$C$503,MATCH(79,$J$6:$J$505,0)),"")</f>
        <v/>
      </c>
      <c r="C84" s="13" t="str">
        <f aca="false">IFERROR(INDEX(Journal!$F$4:$F$503,MATCH(79,$J$6:$J$505,0)),"")</f>
        <v/>
      </c>
      <c r="D84" s="12" t="str">
        <f aca="false">IFERROR(INDEX(Journal!$G$4:$G$503,MATCH(79,$J$6:$J$505,0)),"")</f>
        <v/>
      </c>
      <c r="E84" s="32" t="str">
        <f aca="false">IFERROR(INDEX(Journal!$H$4:$H$503,MATCH(79,$J$6:$J$505,0)),"")</f>
        <v/>
      </c>
      <c r="F84" s="32" t="str">
        <f aca="false">IFERROR(INDEX(Journal!$I$4:$I$503,MATCH(79,$J$6:$J$505,0)),"")</f>
        <v/>
      </c>
      <c r="G84" s="33" t="str">
        <f aca="false">IF(A84="","",G83+N(E84)-N(F84))</f>
        <v/>
      </c>
      <c r="J84" s="34" t="n">
        <f aca="false">IF(Journal!$D82=$B$3,J83+1,J83)</f>
        <v>1</v>
      </c>
    </row>
    <row r="85" customFormat="false" ht="15" hidden="false" customHeight="false" outlineLevel="0" collapsed="false">
      <c r="A85" s="31" t="str">
        <f aca="false">IFERROR(INDEX(Journal!$B$4:$B$503,MATCH(80,$J$6:$J$505,0)),"")</f>
        <v/>
      </c>
      <c r="B85" s="13" t="str">
        <f aca="false">IFERROR(INDEX(Journal!$C$4:$C$503,MATCH(80,$J$6:$J$505,0)),"")</f>
        <v/>
      </c>
      <c r="C85" s="13" t="str">
        <f aca="false">IFERROR(INDEX(Journal!$F$4:$F$503,MATCH(80,$J$6:$J$505,0)),"")</f>
        <v/>
      </c>
      <c r="D85" s="12" t="str">
        <f aca="false">IFERROR(INDEX(Journal!$G$4:$G$503,MATCH(80,$J$6:$J$505,0)),"")</f>
        <v/>
      </c>
      <c r="E85" s="32" t="str">
        <f aca="false">IFERROR(INDEX(Journal!$H$4:$H$503,MATCH(80,$J$6:$J$505,0)),"")</f>
        <v/>
      </c>
      <c r="F85" s="32" t="str">
        <f aca="false">IFERROR(INDEX(Journal!$I$4:$I$503,MATCH(80,$J$6:$J$505,0)),"")</f>
        <v/>
      </c>
      <c r="G85" s="33" t="str">
        <f aca="false">IF(A85="","",G84+N(E85)-N(F85))</f>
        <v/>
      </c>
      <c r="J85" s="34" t="n">
        <f aca="false">IF(Journal!$D83=$B$3,J84+1,J84)</f>
        <v>1</v>
      </c>
    </row>
    <row r="86" customFormat="false" ht="15" hidden="false" customHeight="false" outlineLevel="0" collapsed="false">
      <c r="A86" s="31" t="str">
        <f aca="false">IFERROR(INDEX(Journal!$B$4:$B$503,MATCH(81,$J$6:$J$505,0)),"")</f>
        <v/>
      </c>
      <c r="B86" s="13" t="str">
        <f aca="false">IFERROR(INDEX(Journal!$C$4:$C$503,MATCH(81,$J$6:$J$505,0)),"")</f>
        <v/>
      </c>
      <c r="C86" s="13" t="str">
        <f aca="false">IFERROR(INDEX(Journal!$F$4:$F$503,MATCH(81,$J$6:$J$505,0)),"")</f>
        <v/>
      </c>
      <c r="D86" s="12" t="str">
        <f aca="false">IFERROR(INDEX(Journal!$G$4:$G$503,MATCH(81,$J$6:$J$505,0)),"")</f>
        <v/>
      </c>
      <c r="E86" s="32" t="str">
        <f aca="false">IFERROR(INDEX(Journal!$H$4:$H$503,MATCH(81,$J$6:$J$505,0)),"")</f>
        <v/>
      </c>
      <c r="F86" s="32" t="str">
        <f aca="false">IFERROR(INDEX(Journal!$I$4:$I$503,MATCH(81,$J$6:$J$505,0)),"")</f>
        <v/>
      </c>
      <c r="G86" s="33" t="str">
        <f aca="false">IF(A86="","",G85+N(E86)-N(F86))</f>
        <v/>
      </c>
      <c r="J86" s="34" t="n">
        <f aca="false">IF(Journal!$D84=$B$3,J85+1,J85)</f>
        <v>1</v>
      </c>
    </row>
    <row r="87" customFormat="false" ht="15" hidden="false" customHeight="false" outlineLevel="0" collapsed="false">
      <c r="A87" s="31" t="str">
        <f aca="false">IFERROR(INDEX(Journal!$B$4:$B$503,MATCH(82,$J$6:$J$505,0)),"")</f>
        <v/>
      </c>
      <c r="B87" s="13" t="str">
        <f aca="false">IFERROR(INDEX(Journal!$C$4:$C$503,MATCH(82,$J$6:$J$505,0)),"")</f>
        <v/>
      </c>
      <c r="C87" s="13" t="str">
        <f aca="false">IFERROR(INDEX(Journal!$F$4:$F$503,MATCH(82,$J$6:$J$505,0)),"")</f>
        <v/>
      </c>
      <c r="D87" s="12" t="str">
        <f aca="false">IFERROR(INDEX(Journal!$G$4:$G$503,MATCH(82,$J$6:$J$505,0)),"")</f>
        <v/>
      </c>
      <c r="E87" s="32" t="str">
        <f aca="false">IFERROR(INDEX(Journal!$H$4:$H$503,MATCH(82,$J$6:$J$505,0)),"")</f>
        <v/>
      </c>
      <c r="F87" s="32" t="str">
        <f aca="false">IFERROR(INDEX(Journal!$I$4:$I$503,MATCH(82,$J$6:$J$505,0)),"")</f>
        <v/>
      </c>
      <c r="G87" s="33" t="str">
        <f aca="false">IF(A87="","",G86+N(E87)-N(F87))</f>
        <v/>
      </c>
      <c r="J87" s="34" t="n">
        <f aca="false">IF(Journal!$D85=$B$3,J86+1,J86)</f>
        <v>1</v>
      </c>
    </row>
    <row r="88" customFormat="false" ht="15" hidden="false" customHeight="false" outlineLevel="0" collapsed="false">
      <c r="A88" s="31" t="str">
        <f aca="false">IFERROR(INDEX(Journal!$B$4:$B$503,MATCH(83,$J$6:$J$505,0)),"")</f>
        <v/>
      </c>
      <c r="B88" s="13" t="str">
        <f aca="false">IFERROR(INDEX(Journal!$C$4:$C$503,MATCH(83,$J$6:$J$505,0)),"")</f>
        <v/>
      </c>
      <c r="C88" s="13" t="str">
        <f aca="false">IFERROR(INDEX(Journal!$F$4:$F$503,MATCH(83,$J$6:$J$505,0)),"")</f>
        <v/>
      </c>
      <c r="D88" s="12" t="str">
        <f aca="false">IFERROR(INDEX(Journal!$G$4:$G$503,MATCH(83,$J$6:$J$505,0)),"")</f>
        <v/>
      </c>
      <c r="E88" s="32" t="str">
        <f aca="false">IFERROR(INDEX(Journal!$H$4:$H$503,MATCH(83,$J$6:$J$505,0)),"")</f>
        <v/>
      </c>
      <c r="F88" s="32" t="str">
        <f aca="false">IFERROR(INDEX(Journal!$I$4:$I$503,MATCH(83,$J$6:$J$505,0)),"")</f>
        <v/>
      </c>
      <c r="G88" s="33" t="str">
        <f aca="false">IF(A88="","",G87+N(E88)-N(F88))</f>
        <v/>
      </c>
      <c r="J88" s="34" t="n">
        <f aca="false">IF(Journal!$D86=$B$3,J87+1,J87)</f>
        <v>1</v>
      </c>
    </row>
    <row r="89" customFormat="false" ht="15" hidden="false" customHeight="false" outlineLevel="0" collapsed="false">
      <c r="A89" s="31" t="str">
        <f aca="false">IFERROR(INDEX(Journal!$B$4:$B$503,MATCH(84,$J$6:$J$505,0)),"")</f>
        <v/>
      </c>
      <c r="B89" s="13" t="str">
        <f aca="false">IFERROR(INDEX(Journal!$C$4:$C$503,MATCH(84,$J$6:$J$505,0)),"")</f>
        <v/>
      </c>
      <c r="C89" s="13" t="str">
        <f aca="false">IFERROR(INDEX(Journal!$F$4:$F$503,MATCH(84,$J$6:$J$505,0)),"")</f>
        <v/>
      </c>
      <c r="D89" s="12" t="str">
        <f aca="false">IFERROR(INDEX(Journal!$G$4:$G$503,MATCH(84,$J$6:$J$505,0)),"")</f>
        <v/>
      </c>
      <c r="E89" s="32" t="str">
        <f aca="false">IFERROR(INDEX(Journal!$H$4:$H$503,MATCH(84,$J$6:$J$505,0)),"")</f>
        <v/>
      </c>
      <c r="F89" s="32" t="str">
        <f aca="false">IFERROR(INDEX(Journal!$I$4:$I$503,MATCH(84,$J$6:$J$505,0)),"")</f>
        <v/>
      </c>
      <c r="G89" s="33" t="str">
        <f aca="false">IF(A89="","",G88+N(E89)-N(F89))</f>
        <v/>
      </c>
      <c r="J89" s="34" t="n">
        <f aca="false">IF(Journal!$D87=$B$3,J88+1,J88)</f>
        <v>1</v>
      </c>
    </row>
    <row r="90" customFormat="false" ht="15" hidden="false" customHeight="false" outlineLevel="0" collapsed="false">
      <c r="A90" s="31" t="str">
        <f aca="false">IFERROR(INDEX(Journal!$B$4:$B$503,MATCH(85,$J$6:$J$505,0)),"")</f>
        <v/>
      </c>
      <c r="B90" s="13" t="str">
        <f aca="false">IFERROR(INDEX(Journal!$C$4:$C$503,MATCH(85,$J$6:$J$505,0)),"")</f>
        <v/>
      </c>
      <c r="C90" s="13" t="str">
        <f aca="false">IFERROR(INDEX(Journal!$F$4:$F$503,MATCH(85,$J$6:$J$505,0)),"")</f>
        <v/>
      </c>
      <c r="D90" s="12" t="str">
        <f aca="false">IFERROR(INDEX(Journal!$G$4:$G$503,MATCH(85,$J$6:$J$505,0)),"")</f>
        <v/>
      </c>
      <c r="E90" s="32" t="str">
        <f aca="false">IFERROR(INDEX(Journal!$H$4:$H$503,MATCH(85,$J$6:$J$505,0)),"")</f>
        <v/>
      </c>
      <c r="F90" s="32" t="str">
        <f aca="false">IFERROR(INDEX(Journal!$I$4:$I$503,MATCH(85,$J$6:$J$505,0)),"")</f>
        <v/>
      </c>
      <c r="G90" s="33" t="str">
        <f aca="false">IF(A90="","",G89+N(E90)-N(F90))</f>
        <v/>
      </c>
      <c r="J90" s="34" t="n">
        <f aca="false">IF(Journal!$D88=$B$3,J89+1,J89)</f>
        <v>1</v>
      </c>
    </row>
    <row r="91" customFormat="false" ht="15" hidden="false" customHeight="false" outlineLevel="0" collapsed="false">
      <c r="A91" s="31" t="str">
        <f aca="false">IFERROR(INDEX(Journal!$B$4:$B$503,MATCH(86,$J$6:$J$505,0)),"")</f>
        <v/>
      </c>
      <c r="B91" s="13" t="str">
        <f aca="false">IFERROR(INDEX(Journal!$C$4:$C$503,MATCH(86,$J$6:$J$505,0)),"")</f>
        <v/>
      </c>
      <c r="C91" s="13" t="str">
        <f aca="false">IFERROR(INDEX(Journal!$F$4:$F$503,MATCH(86,$J$6:$J$505,0)),"")</f>
        <v/>
      </c>
      <c r="D91" s="12" t="str">
        <f aca="false">IFERROR(INDEX(Journal!$G$4:$G$503,MATCH(86,$J$6:$J$505,0)),"")</f>
        <v/>
      </c>
      <c r="E91" s="32" t="str">
        <f aca="false">IFERROR(INDEX(Journal!$H$4:$H$503,MATCH(86,$J$6:$J$505,0)),"")</f>
        <v/>
      </c>
      <c r="F91" s="32" t="str">
        <f aca="false">IFERROR(INDEX(Journal!$I$4:$I$503,MATCH(86,$J$6:$J$505,0)),"")</f>
        <v/>
      </c>
      <c r="G91" s="33" t="str">
        <f aca="false">IF(A91="","",G90+N(E91)-N(F91))</f>
        <v/>
      </c>
      <c r="J91" s="34" t="n">
        <f aca="false">IF(Journal!$D89=$B$3,J90+1,J90)</f>
        <v>1</v>
      </c>
    </row>
    <row r="92" customFormat="false" ht="15" hidden="false" customHeight="false" outlineLevel="0" collapsed="false">
      <c r="A92" s="31" t="str">
        <f aca="false">IFERROR(INDEX(Journal!$B$4:$B$503,MATCH(87,$J$6:$J$505,0)),"")</f>
        <v/>
      </c>
      <c r="B92" s="13" t="str">
        <f aca="false">IFERROR(INDEX(Journal!$C$4:$C$503,MATCH(87,$J$6:$J$505,0)),"")</f>
        <v/>
      </c>
      <c r="C92" s="13" t="str">
        <f aca="false">IFERROR(INDEX(Journal!$F$4:$F$503,MATCH(87,$J$6:$J$505,0)),"")</f>
        <v/>
      </c>
      <c r="D92" s="12" t="str">
        <f aca="false">IFERROR(INDEX(Journal!$G$4:$G$503,MATCH(87,$J$6:$J$505,0)),"")</f>
        <v/>
      </c>
      <c r="E92" s="32" t="str">
        <f aca="false">IFERROR(INDEX(Journal!$H$4:$H$503,MATCH(87,$J$6:$J$505,0)),"")</f>
        <v/>
      </c>
      <c r="F92" s="32" t="str">
        <f aca="false">IFERROR(INDEX(Journal!$I$4:$I$503,MATCH(87,$J$6:$J$505,0)),"")</f>
        <v/>
      </c>
      <c r="G92" s="33" t="str">
        <f aca="false">IF(A92="","",G91+N(E92)-N(F92))</f>
        <v/>
      </c>
      <c r="J92" s="34" t="n">
        <f aca="false">IF(Journal!$D90=$B$3,J91+1,J91)</f>
        <v>1</v>
      </c>
    </row>
    <row r="93" customFormat="false" ht="15" hidden="false" customHeight="false" outlineLevel="0" collapsed="false">
      <c r="A93" s="31" t="str">
        <f aca="false">IFERROR(INDEX(Journal!$B$4:$B$503,MATCH(88,$J$6:$J$505,0)),"")</f>
        <v/>
      </c>
      <c r="B93" s="13" t="str">
        <f aca="false">IFERROR(INDEX(Journal!$C$4:$C$503,MATCH(88,$J$6:$J$505,0)),"")</f>
        <v/>
      </c>
      <c r="C93" s="13" t="str">
        <f aca="false">IFERROR(INDEX(Journal!$F$4:$F$503,MATCH(88,$J$6:$J$505,0)),"")</f>
        <v/>
      </c>
      <c r="D93" s="12" t="str">
        <f aca="false">IFERROR(INDEX(Journal!$G$4:$G$503,MATCH(88,$J$6:$J$505,0)),"")</f>
        <v/>
      </c>
      <c r="E93" s="32" t="str">
        <f aca="false">IFERROR(INDEX(Journal!$H$4:$H$503,MATCH(88,$J$6:$J$505,0)),"")</f>
        <v/>
      </c>
      <c r="F93" s="32" t="str">
        <f aca="false">IFERROR(INDEX(Journal!$I$4:$I$503,MATCH(88,$J$6:$J$505,0)),"")</f>
        <v/>
      </c>
      <c r="G93" s="33" t="str">
        <f aca="false">IF(A93="","",G92+N(E93)-N(F93))</f>
        <v/>
      </c>
      <c r="J93" s="34" t="n">
        <f aca="false">IF(Journal!$D91=$B$3,J92+1,J92)</f>
        <v>1</v>
      </c>
    </row>
    <row r="94" customFormat="false" ht="15" hidden="false" customHeight="false" outlineLevel="0" collapsed="false">
      <c r="A94" s="31" t="str">
        <f aca="false">IFERROR(INDEX(Journal!$B$4:$B$503,MATCH(89,$J$6:$J$505,0)),"")</f>
        <v/>
      </c>
      <c r="B94" s="13" t="str">
        <f aca="false">IFERROR(INDEX(Journal!$C$4:$C$503,MATCH(89,$J$6:$J$505,0)),"")</f>
        <v/>
      </c>
      <c r="C94" s="13" t="str">
        <f aca="false">IFERROR(INDEX(Journal!$F$4:$F$503,MATCH(89,$J$6:$J$505,0)),"")</f>
        <v/>
      </c>
      <c r="D94" s="12" t="str">
        <f aca="false">IFERROR(INDEX(Journal!$G$4:$G$503,MATCH(89,$J$6:$J$505,0)),"")</f>
        <v/>
      </c>
      <c r="E94" s="32" t="str">
        <f aca="false">IFERROR(INDEX(Journal!$H$4:$H$503,MATCH(89,$J$6:$J$505,0)),"")</f>
        <v/>
      </c>
      <c r="F94" s="32" t="str">
        <f aca="false">IFERROR(INDEX(Journal!$I$4:$I$503,MATCH(89,$J$6:$J$505,0)),"")</f>
        <v/>
      </c>
      <c r="G94" s="33" t="str">
        <f aca="false">IF(A94="","",G93+N(E94)-N(F94))</f>
        <v/>
      </c>
      <c r="J94" s="34" t="n">
        <f aca="false">IF(Journal!$D92=$B$3,J93+1,J93)</f>
        <v>1</v>
      </c>
    </row>
    <row r="95" customFormat="false" ht="15" hidden="false" customHeight="false" outlineLevel="0" collapsed="false">
      <c r="A95" s="31" t="str">
        <f aca="false">IFERROR(INDEX(Journal!$B$4:$B$503,MATCH(90,$J$6:$J$505,0)),"")</f>
        <v/>
      </c>
      <c r="B95" s="13" t="str">
        <f aca="false">IFERROR(INDEX(Journal!$C$4:$C$503,MATCH(90,$J$6:$J$505,0)),"")</f>
        <v/>
      </c>
      <c r="C95" s="13" t="str">
        <f aca="false">IFERROR(INDEX(Journal!$F$4:$F$503,MATCH(90,$J$6:$J$505,0)),"")</f>
        <v/>
      </c>
      <c r="D95" s="12" t="str">
        <f aca="false">IFERROR(INDEX(Journal!$G$4:$G$503,MATCH(90,$J$6:$J$505,0)),"")</f>
        <v/>
      </c>
      <c r="E95" s="32" t="str">
        <f aca="false">IFERROR(INDEX(Journal!$H$4:$H$503,MATCH(90,$J$6:$J$505,0)),"")</f>
        <v/>
      </c>
      <c r="F95" s="32" t="str">
        <f aca="false">IFERROR(INDEX(Journal!$I$4:$I$503,MATCH(90,$J$6:$J$505,0)),"")</f>
        <v/>
      </c>
      <c r="G95" s="33" t="str">
        <f aca="false">IF(A95="","",G94+N(E95)-N(F95))</f>
        <v/>
      </c>
      <c r="J95" s="34" t="n">
        <f aca="false">IF(Journal!$D93=$B$3,J94+1,J94)</f>
        <v>1</v>
      </c>
    </row>
    <row r="96" customFormat="false" ht="15" hidden="false" customHeight="false" outlineLevel="0" collapsed="false">
      <c r="A96" s="31" t="str">
        <f aca="false">IFERROR(INDEX(Journal!$B$4:$B$503,MATCH(91,$J$6:$J$505,0)),"")</f>
        <v/>
      </c>
      <c r="B96" s="13" t="str">
        <f aca="false">IFERROR(INDEX(Journal!$C$4:$C$503,MATCH(91,$J$6:$J$505,0)),"")</f>
        <v/>
      </c>
      <c r="C96" s="13" t="str">
        <f aca="false">IFERROR(INDEX(Journal!$F$4:$F$503,MATCH(91,$J$6:$J$505,0)),"")</f>
        <v/>
      </c>
      <c r="D96" s="12" t="str">
        <f aca="false">IFERROR(INDEX(Journal!$G$4:$G$503,MATCH(91,$J$6:$J$505,0)),"")</f>
        <v/>
      </c>
      <c r="E96" s="32" t="str">
        <f aca="false">IFERROR(INDEX(Journal!$H$4:$H$503,MATCH(91,$J$6:$J$505,0)),"")</f>
        <v/>
      </c>
      <c r="F96" s="32" t="str">
        <f aca="false">IFERROR(INDEX(Journal!$I$4:$I$503,MATCH(91,$J$6:$J$505,0)),"")</f>
        <v/>
      </c>
      <c r="G96" s="33" t="str">
        <f aca="false">IF(A96="","",G95+N(E96)-N(F96))</f>
        <v/>
      </c>
      <c r="J96" s="34" t="n">
        <f aca="false">IF(Journal!$D94=$B$3,J95+1,J95)</f>
        <v>1</v>
      </c>
    </row>
    <row r="97" customFormat="false" ht="15" hidden="false" customHeight="false" outlineLevel="0" collapsed="false">
      <c r="A97" s="31" t="str">
        <f aca="false">IFERROR(INDEX(Journal!$B$4:$B$503,MATCH(92,$J$6:$J$505,0)),"")</f>
        <v/>
      </c>
      <c r="B97" s="13" t="str">
        <f aca="false">IFERROR(INDEX(Journal!$C$4:$C$503,MATCH(92,$J$6:$J$505,0)),"")</f>
        <v/>
      </c>
      <c r="C97" s="13" t="str">
        <f aca="false">IFERROR(INDEX(Journal!$F$4:$F$503,MATCH(92,$J$6:$J$505,0)),"")</f>
        <v/>
      </c>
      <c r="D97" s="12" t="str">
        <f aca="false">IFERROR(INDEX(Journal!$G$4:$G$503,MATCH(92,$J$6:$J$505,0)),"")</f>
        <v/>
      </c>
      <c r="E97" s="32" t="str">
        <f aca="false">IFERROR(INDEX(Journal!$H$4:$H$503,MATCH(92,$J$6:$J$505,0)),"")</f>
        <v/>
      </c>
      <c r="F97" s="32" t="str">
        <f aca="false">IFERROR(INDEX(Journal!$I$4:$I$503,MATCH(92,$J$6:$J$505,0)),"")</f>
        <v/>
      </c>
      <c r="G97" s="33" t="str">
        <f aca="false">IF(A97="","",G96+N(E97)-N(F97))</f>
        <v/>
      </c>
      <c r="J97" s="34" t="n">
        <f aca="false">IF(Journal!$D95=$B$3,J96+1,J96)</f>
        <v>1</v>
      </c>
    </row>
    <row r="98" customFormat="false" ht="15" hidden="false" customHeight="false" outlineLevel="0" collapsed="false">
      <c r="A98" s="31" t="str">
        <f aca="false">IFERROR(INDEX(Journal!$B$4:$B$503,MATCH(93,$J$6:$J$505,0)),"")</f>
        <v/>
      </c>
      <c r="B98" s="13" t="str">
        <f aca="false">IFERROR(INDEX(Journal!$C$4:$C$503,MATCH(93,$J$6:$J$505,0)),"")</f>
        <v/>
      </c>
      <c r="C98" s="13" t="str">
        <f aca="false">IFERROR(INDEX(Journal!$F$4:$F$503,MATCH(93,$J$6:$J$505,0)),"")</f>
        <v/>
      </c>
      <c r="D98" s="12" t="str">
        <f aca="false">IFERROR(INDEX(Journal!$G$4:$G$503,MATCH(93,$J$6:$J$505,0)),"")</f>
        <v/>
      </c>
      <c r="E98" s="32" t="str">
        <f aca="false">IFERROR(INDEX(Journal!$H$4:$H$503,MATCH(93,$J$6:$J$505,0)),"")</f>
        <v/>
      </c>
      <c r="F98" s="32" t="str">
        <f aca="false">IFERROR(INDEX(Journal!$I$4:$I$503,MATCH(93,$J$6:$J$505,0)),"")</f>
        <v/>
      </c>
      <c r="G98" s="33" t="str">
        <f aca="false">IF(A98="","",G97+N(E98)-N(F98))</f>
        <v/>
      </c>
      <c r="J98" s="34" t="n">
        <f aca="false">IF(Journal!$D96=$B$3,J97+1,J97)</f>
        <v>1</v>
      </c>
    </row>
    <row r="99" customFormat="false" ht="15" hidden="false" customHeight="false" outlineLevel="0" collapsed="false">
      <c r="A99" s="31" t="str">
        <f aca="false">IFERROR(INDEX(Journal!$B$4:$B$503,MATCH(94,$J$6:$J$505,0)),"")</f>
        <v/>
      </c>
      <c r="B99" s="13" t="str">
        <f aca="false">IFERROR(INDEX(Journal!$C$4:$C$503,MATCH(94,$J$6:$J$505,0)),"")</f>
        <v/>
      </c>
      <c r="C99" s="13" t="str">
        <f aca="false">IFERROR(INDEX(Journal!$F$4:$F$503,MATCH(94,$J$6:$J$505,0)),"")</f>
        <v/>
      </c>
      <c r="D99" s="12" t="str">
        <f aca="false">IFERROR(INDEX(Journal!$G$4:$G$503,MATCH(94,$J$6:$J$505,0)),"")</f>
        <v/>
      </c>
      <c r="E99" s="32" t="str">
        <f aca="false">IFERROR(INDEX(Journal!$H$4:$H$503,MATCH(94,$J$6:$J$505,0)),"")</f>
        <v/>
      </c>
      <c r="F99" s="32" t="str">
        <f aca="false">IFERROR(INDEX(Journal!$I$4:$I$503,MATCH(94,$J$6:$J$505,0)),"")</f>
        <v/>
      </c>
      <c r="G99" s="33" t="str">
        <f aca="false">IF(A99="","",G98+N(E99)-N(F99))</f>
        <v/>
      </c>
      <c r="J99" s="34" t="n">
        <f aca="false">IF(Journal!$D97=$B$3,J98+1,J98)</f>
        <v>1</v>
      </c>
    </row>
    <row r="100" customFormat="false" ht="15" hidden="false" customHeight="false" outlineLevel="0" collapsed="false">
      <c r="A100" s="31" t="str">
        <f aca="false">IFERROR(INDEX(Journal!$B$4:$B$503,MATCH(95,$J$6:$J$505,0)),"")</f>
        <v/>
      </c>
      <c r="B100" s="13" t="str">
        <f aca="false">IFERROR(INDEX(Journal!$C$4:$C$503,MATCH(95,$J$6:$J$505,0)),"")</f>
        <v/>
      </c>
      <c r="C100" s="13" t="str">
        <f aca="false">IFERROR(INDEX(Journal!$F$4:$F$503,MATCH(95,$J$6:$J$505,0)),"")</f>
        <v/>
      </c>
      <c r="D100" s="12" t="str">
        <f aca="false">IFERROR(INDEX(Journal!$G$4:$G$503,MATCH(95,$J$6:$J$505,0)),"")</f>
        <v/>
      </c>
      <c r="E100" s="32" t="str">
        <f aca="false">IFERROR(INDEX(Journal!$H$4:$H$503,MATCH(95,$J$6:$J$505,0)),"")</f>
        <v/>
      </c>
      <c r="F100" s="32" t="str">
        <f aca="false">IFERROR(INDEX(Journal!$I$4:$I$503,MATCH(95,$J$6:$J$505,0)),"")</f>
        <v/>
      </c>
      <c r="G100" s="33" t="str">
        <f aca="false">IF(A100="","",G99+N(E100)-N(F100))</f>
        <v/>
      </c>
      <c r="J100" s="34" t="n">
        <f aca="false">IF(Journal!$D98=$B$3,J99+1,J99)</f>
        <v>1</v>
      </c>
    </row>
    <row r="101" customFormat="false" ht="15" hidden="false" customHeight="false" outlineLevel="0" collapsed="false">
      <c r="A101" s="31" t="str">
        <f aca="false">IFERROR(INDEX(Journal!$B$4:$B$503,MATCH(96,$J$6:$J$505,0)),"")</f>
        <v/>
      </c>
      <c r="B101" s="13" t="str">
        <f aca="false">IFERROR(INDEX(Journal!$C$4:$C$503,MATCH(96,$J$6:$J$505,0)),"")</f>
        <v/>
      </c>
      <c r="C101" s="13" t="str">
        <f aca="false">IFERROR(INDEX(Journal!$F$4:$F$503,MATCH(96,$J$6:$J$505,0)),"")</f>
        <v/>
      </c>
      <c r="D101" s="12" t="str">
        <f aca="false">IFERROR(INDEX(Journal!$G$4:$G$503,MATCH(96,$J$6:$J$505,0)),"")</f>
        <v/>
      </c>
      <c r="E101" s="32" t="str">
        <f aca="false">IFERROR(INDEX(Journal!$H$4:$H$503,MATCH(96,$J$6:$J$505,0)),"")</f>
        <v/>
      </c>
      <c r="F101" s="32" t="str">
        <f aca="false">IFERROR(INDEX(Journal!$I$4:$I$503,MATCH(96,$J$6:$J$505,0)),"")</f>
        <v/>
      </c>
      <c r="G101" s="33" t="str">
        <f aca="false">IF(A101="","",G100+N(E101)-N(F101))</f>
        <v/>
      </c>
      <c r="J101" s="34" t="n">
        <f aca="false">IF(Journal!$D99=$B$3,J100+1,J100)</f>
        <v>1</v>
      </c>
    </row>
    <row r="102" customFormat="false" ht="15" hidden="false" customHeight="false" outlineLevel="0" collapsed="false">
      <c r="A102" s="31" t="str">
        <f aca="false">IFERROR(INDEX(Journal!$B$4:$B$503,MATCH(97,$J$6:$J$505,0)),"")</f>
        <v/>
      </c>
      <c r="B102" s="13" t="str">
        <f aca="false">IFERROR(INDEX(Journal!$C$4:$C$503,MATCH(97,$J$6:$J$505,0)),"")</f>
        <v/>
      </c>
      <c r="C102" s="13" t="str">
        <f aca="false">IFERROR(INDEX(Journal!$F$4:$F$503,MATCH(97,$J$6:$J$505,0)),"")</f>
        <v/>
      </c>
      <c r="D102" s="12" t="str">
        <f aca="false">IFERROR(INDEX(Journal!$G$4:$G$503,MATCH(97,$J$6:$J$505,0)),"")</f>
        <v/>
      </c>
      <c r="E102" s="32" t="str">
        <f aca="false">IFERROR(INDEX(Journal!$H$4:$H$503,MATCH(97,$J$6:$J$505,0)),"")</f>
        <v/>
      </c>
      <c r="F102" s="32" t="str">
        <f aca="false">IFERROR(INDEX(Journal!$I$4:$I$503,MATCH(97,$J$6:$J$505,0)),"")</f>
        <v/>
      </c>
      <c r="G102" s="33" t="str">
        <f aca="false">IF(A102="","",G101+N(E102)-N(F102))</f>
        <v/>
      </c>
      <c r="J102" s="34" t="n">
        <f aca="false">IF(Journal!$D100=$B$3,J101+1,J101)</f>
        <v>1</v>
      </c>
    </row>
    <row r="103" customFormat="false" ht="15" hidden="false" customHeight="false" outlineLevel="0" collapsed="false">
      <c r="A103" s="31" t="str">
        <f aca="false">IFERROR(INDEX(Journal!$B$4:$B$503,MATCH(98,$J$6:$J$505,0)),"")</f>
        <v/>
      </c>
      <c r="B103" s="13" t="str">
        <f aca="false">IFERROR(INDEX(Journal!$C$4:$C$503,MATCH(98,$J$6:$J$505,0)),"")</f>
        <v/>
      </c>
      <c r="C103" s="13" t="str">
        <f aca="false">IFERROR(INDEX(Journal!$F$4:$F$503,MATCH(98,$J$6:$J$505,0)),"")</f>
        <v/>
      </c>
      <c r="D103" s="12" t="str">
        <f aca="false">IFERROR(INDEX(Journal!$G$4:$G$503,MATCH(98,$J$6:$J$505,0)),"")</f>
        <v/>
      </c>
      <c r="E103" s="32" t="str">
        <f aca="false">IFERROR(INDEX(Journal!$H$4:$H$503,MATCH(98,$J$6:$J$505,0)),"")</f>
        <v/>
      </c>
      <c r="F103" s="32" t="str">
        <f aca="false">IFERROR(INDEX(Journal!$I$4:$I$503,MATCH(98,$J$6:$J$505,0)),"")</f>
        <v/>
      </c>
      <c r="G103" s="33" t="str">
        <f aca="false">IF(A103="","",G102+N(E103)-N(F103))</f>
        <v/>
      </c>
      <c r="J103" s="34" t="n">
        <f aca="false">IF(Journal!$D101=$B$3,J102+1,J102)</f>
        <v>1</v>
      </c>
    </row>
    <row r="104" customFormat="false" ht="15" hidden="false" customHeight="false" outlineLevel="0" collapsed="false">
      <c r="A104" s="31" t="str">
        <f aca="false">IFERROR(INDEX(Journal!$B$4:$B$503,MATCH(99,$J$6:$J$505,0)),"")</f>
        <v/>
      </c>
      <c r="B104" s="13" t="str">
        <f aca="false">IFERROR(INDEX(Journal!$C$4:$C$503,MATCH(99,$J$6:$J$505,0)),"")</f>
        <v/>
      </c>
      <c r="C104" s="13" t="str">
        <f aca="false">IFERROR(INDEX(Journal!$F$4:$F$503,MATCH(99,$J$6:$J$505,0)),"")</f>
        <v/>
      </c>
      <c r="D104" s="12" t="str">
        <f aca="false">IFERROR(INDEX(Journal!$G$4:$G$503,MATCH(99,$J$6:$J$505,0)),"")</f>
        <v/>
      </c>
      <c r="E104" s="32" t="str">
        <f aca="false">IFERROR(INDEX(Journal!$H$4:$H$503,MATCH(99,$J$6:$J$505,0)),"")</f>
        <v/>
      </c>
      <c r="F104" s="32" t="str">
        <f aca="false">IFERROR(INDEX(Journal!$I$4:$I$503,MATCH(99,$J$6:$J$505,0)),"")</f>
        <v/>
      </c>
      <c r="G104" s="33" t="str">
        <f aca="false">IF(A104="","",G103+N(E104)-N(F104))</f>
        <v/>
      </c>
      <c r="J104" s="34" t="n">
        <f aca="false">IF(Journal!$D102=$B$3,J103+1,J103)</f>
        <v>1</v>
      </c>
    </row>
    <row r="105" customFormat="false" ht="15" hidden="false" customHeight="false" outlineLevel="0" collapsed="false">
      <c r="A105" s="31" t="str">
        <f aca="false">IFERROR(INDEX(Journal!$B$4:$B$503,MATCH(100,$J$6:$J$505,0)),"")</f>
        <v/>
      </c>
      <c r="B105" s="13" t="str">
        <f aca="false">IFERROR(INDEX(Journal!$C$4:$C$503,MATCH(100,$J$6:$J$505,0)),"")</f>
        <v/>
      </c>
      <c r="C105" s="13" t="str">
        <f aca="false">IFERROR(INDEX(Journal!$F$4:$F$503,MATCH(100,$J$6:$J$505,0)),"")</f>
        <v/>
      </c>
      <c r="D105" s="12" t="str">
        <f aca="false">IFERROR(INDEX(Journal!$G$4:$G$503,MATCH(100,$J$6:$J$505,0)),"")</f>
        <v/>
      </c>
      <c r="E105" s="32" t="str">
        <f aca="false">IFERROR(INDEX(Journal!$H$4:$H$503,MATCH(100,$J$6:$J$505,0)),"")</f>
        <v/>
      </c>
      <c r="F105" s="32" t="str">
        <f aca="false">IFERROR(INDEX(Journal!$I$4:$I$503,MATCH(100,$J$6:$J$505,0)),"")</f>
        <v/>
      </c>
      <c r="G105" s="33" t="str">
        <f aca="false">IF(A105="","",G104+N(E105)-N(F105))</f>
        <v/>
      </c>
      <c r="J105" s="34" t="n">
        <f aca="false">IF(Journal!$D103=$B$3,J104+1,J104)</f>
        <v>1</v>
      </c>
    </row>
    <row r="106" customFormat="false" ht="15" hidden="false" customHeight="false" outlineLevel="0" collapsed="false">
      <c r="A106" s="31" t="str">
        <f aca="false">IFERROR(INDEX(Journal!$B$4:$B$503,MATCH(101,$J$6:$J$505,0)),"")</f>
        <v/>
      </c>
      <c r="B106" s="13" t="str">
        <f aca="false">IFERROR(INDEX(Journal!$C$4:$C$503,MATCH(101,$J$6:$J$505,0)),"")</f>
        <v/>
      </c>
      <c r="C106" s="13" t="str">
        <f aca="false">IFERROR(INDEX(Journal!$F$4:$F$503,MATCH(101,$J$6:$J$505,0)),"")</f>
        <v/>
      </c>
      <c r="D106" s="12" t="str">
        <f aca="false">IFERROR(INDEX(Journal!$G$4:$G$503,MATCH(101,$J$6:$J$505,0)),"")</f>
        <v/>
      </c>
      <c r="E106" s="32" t="str">
        <f aca="false">IFERROR(INDEX(Journal!$H$4:$H$503,MATCH(101,$J$6:$J$505,0)),"")</f>
        <v/>
      </c>
      <c r="F106" s="32" t="str">
        <f aca="false">IFERROR(INDEX(Journal!$I$4:$I$503,MATCH(101,$J$6:$J$505,0)),"")</f>
        <v/>
      </c>
      <c r="G106" s="33" t="str">
        <f aca="false">IF(A106="","",G105+N(E106)-N(F106))</f>
        <v/>
      </c>
      <c r="J106" s="34" t="n">
        <f aca="false">IF(Journal!$D104=$B$3,J105+1,J105)</f>
        <v>1</v>
      </c>
    </row>
    <row r="107" customFormat="false" ht="15" hidden="false" customHeight="false" outlineLevel="0" collapsed="false">
      <c r="A107" s="31" t="str">
        <f aca="false">IFERROR(INDEX(Journal!$B$4:$B$503,MATCH(102,$J$6:$J$505,0)),"")</f>
        <v/>
      </c>
      <c r="B107" s="13" t="str">
        <f aca="false">IFERROR(INDEX(Journal!$C$4:$C$503,MATCH(102,$J$6:$J$505,0)),"")</f>
        <v/>
      </c>
      <c r="C107" s="13" t="str">
        <f aca="false">IFERROR(INDEX(Journal!$F$4:$F$503,MATCH(102,$J$6:$J$505,0)),"")</f>
        <v/>
      </c>
      <c r="D107" s="12" t="str">
        <f aca="false">IFERROR(INDEX(Journal!$G$4:$G$503,MATCH(102,$J$6:$J$505,0)),"")</f>
        <v/>
      </c>
      <c r="E107" s="32" t="str">
        <f aca="false">IFERROR(INDEX(Journal!$H$4:$H$503,MATCH(102,$J$6:$J$505,0)),"")</f>
        <v/>
      </c>
      <c r="F107" s="32" t="str">
        <f aca="false">IFERROR(INDEX(Journal!$I$4:$I$503,MATCH(102,$J$6:$J$505,0)),"")</f>
        <v/>
      </c>
      <c r="G107" s="33" t="str">
        <f aca="false">IF(A107="","",G106+N(E107)-N(F107))</f>
        <v/>
      </c>
      <c r="J107" s="34" t="n">
        <f aca="false">IF(Journal!$D105=$B$3,J106+1,J106)</f>
        <v>1</v>
      </c>
    </row>
    <row r="108" customFormat="false" ht="15" hidden="false" customHeight="false" outlineLevel="0" collapsed="false">
      <c r="A108" s="31" t="str">
        <f aca="false">IFERROR(INDEX(Journal!$B$4:$B$503,MATCH(103,$J$6:$J$505,0)),"")</f>
        <v/>
      </c>
      <c r="B108" s="13" t="str">
        <f aca="false">IFERROR(INDEX(Journal!$C$4:$C$503,MATCH(103,$J$6:$J$505,0)),"")</f>
        <v/>
      </c>
      <c r="C108" s="13" t="str">
        <f aca="false">IFERROR(INDEX(Journal!$F$4:$F$503,MATCH(103,$J$6:$J$505,0)),"")</f>
        <v/>
      </c>
      <c r="D108" s="12" t="str">
        <f aca="false">IFERROR(INDEX(Journal!$G$4:$G$503,MATCH(103,$J$6:$J$505,0)),"")</f>
        <v/>
      </c>
      <c r="E108" s="32" t="str">
        <f aca="false">IFERROR(INDEX(Journal!$H$4:$H$503,MATCH(103,$J$6:$J$505,0)),"")</f>
        <v/>
      </c>
      <c r="F108" s="32" t="str">
        <f aca="false">IFERROR(INDEX(Journal!$I$4:$I$503,MATCH(103,$J$6:$J$505,0)),"")</f>
        <v/>
      </c>
      <c r="G108" s="33" t="str">
        <f aca="false">IF(A108="","",G107+N(E108)-N(F108))</f>
        <v/>
      </c>
      <c r="J108" s="34" t="n">
        <f aca="false">IF(Journal!$D106=$B$3,J107+1,J107)</f>
        <v>1</v>
      </c>
    </row>
    <row r="109" customFormat="false" ht="15" hidden="false" customHeight="false" outlineLevel="0" collapsed="false">
      <c r="A109" s="31" t="str">
        <f aca="false">IFERROR(INDEX(Journal!$B$4:$B$503,MATCH(104,$J$6:$J$505,0)),"")</f>
        <v/>
      </c>
      <c r="B109" s="13" t="str">
        <f aca="false">IFERROR(INDEX(Journal!$C$4:$C$503,MATCH(104,$J$6:$J$505,0)),"")</f>
        <v/>
      </c>
      <c r="C109" s="13" t="str">
        <f aca="false">IFERROR(INDEX(Journal!$F$4:$F$503,MATCH(104,$J$6:$J$505,0)),"")</f>
        <v/>
      </c>
      <c r="D109" s="12" t="str">
        <f aca="false">IFERROR(INDEX(Journal!$G$4:$G$503,MATCH(104,$J$6:$J$505,0)),"")</f>
        <v/>
      </c>
      <c r="E109" s="32" t="str">
        <f aca="false">IFERROR(INDEX(Journal!$H$4:$H$503,MATCH(104,$J$6:$J$505,0)),"")</f>
        <v/>
      </c>
      <c r="F109" s="32" t="str">
        <f aca="false">IFERROR(INDEX(Journal!$I$4:$I$503,MATCH(104,$J$6:$J$505,0)),"")</f>
        <v/>
      </c>
      <c r="G109" s="33" t="str">
        <f aca="false">IF(A109="","",G108+N(E109)-N(F109))</f>
        <v/>
      </c>
      <c r="J109" s="34" t="n">
        <f aca="false">IF(Journal!$D107=$B$3,J108+1,J108)</f>
        <v>1</v>
      </c>
    </row>
    <row r="110" customFormat="false" ht="15" hidden="false" customHeight="false" outlineLevel="0" collapsed="false">
      <c r="A110" s="31" t="str">
        <f aca="false">IFERROR(INDEX(Journal!$B$4:$B$503,MATCH(105,$J$6:$J$505,0)),"")</f>
        <v/>
      </c>
      <c r="B110" s="13" t="str">
        <f aca="false">IFERROR(INDEX(Journal!$C$4:$C$503,MATCH(105,$J$6:$J$505,0)),"")</f>
        <v/>
      </c>
      <c r="C110" s="13" t="str">
        <f aca="false">IFERROR(INDEX(Journal!$F$4:$F$503,MATCH(105,$J$6:$J$505,0)),"")</f>
        <v/>
      </c>
      <c r="D110" s="12" t="str">
        <f aca="false">IFERROR(INDEX(Journal!$G$4:$G$503,MATCH(105,$J$6:$J$505,0)),"")</f>
        <v/>
      </c>
      <c r="E110" s="32" t="str">
        <f aca="false">IFERROR(INDEX(Journal!$H$4:$H$503,MATCH(105,$J$6:$J$505,0)),"")</f>
        <v/>
      </c>
      <c r="F110" s="32" t="str">
        <f aca="false">IFERROR(INDEX(Journal!$I$4:$I$503,MATCH(105,$J$6:$J$505,0)),"")</f>
        <v/>
      </c>
      <c r="G110" s="33" t="str">
        <f aca="false">IF(A110="","",G109+N(E110)-N(F110))</f>
        <v/>
      </c>
      <c r="J110" s="34" t="n">
        <f aca="false">IF(Journal!$D108=$B$3,J109+1,J109)</f>
        <v>1</v>
      </c>
    </row>
    <row r="111" customFormat="false" ht="15" hidden="false" customHeight="false" outlineLevel="0" collapsed="false">
      <c r="A111" s="31" t="str">
        <f aca="false">IFERROR(INDEX(Journal!$B$4:$B$503,MATCH(106,$J$6:$J$505,0)),"")</f>
        <v/>
      </c>
      <c r="B111" s="13" t="str">
        <f aca="false">IFERROR(INDEX(Journal!$C$4:$C$503,MATCH(106,$J$6:$J$505,0)),"")</f>
        <v/>
      </c>
      <c r="C111" s="13" t="str">
        <f aca="false">IFERROR(INDEX(Journal!$F$4:$F$503,MATCH(106,$J$6:$J$505,0)),"")</f>
        <v/>
      </c>
      <c r="D111" s="12" t="str">
        <f aca="false">IFERROR(INDEX(Journal!$G$4:$G$503,MATCH(106,$J$6:$J$505,0)),"")</f>
        <v/>
      </c>
      <c r="E111" s="32" t="str">
        <f aca="false">IFERROR(INDEX(Journal!$H$4:$H$503,MATCH(106,$J$6:$J$505,0)),"")</f>
        <v/>
      </c>
      <c r="F111" s="32" t="str">
        <f aca="false">IFERROR(INDEX(Journal!$I$4:$I$503,MATCH(106,$J$6:$J$505,0)),"")</f>
        <v/>
      </c>
      <c r="G111" s="33" t="str">
        <f aca="false">IF(A111="","",G110+N(E111)-N(F111))</f>
        <v/>
      </c>
      <c r="J111" s="34" t="n">
        <f aca="false">IF(Journal!$D109=$B$3,J110+1,J110)</f>
        <v>1</v>
      </c>
    </row>
    <row r="112" customFormat="false" ht="15" hidden="false" customHeight="false" outlineLevel="0" collapsed="false">
      <c r="A112" s="31" t="str">
        <f aca="false">IFERROR(INDEX(Journal!$B$4:$B$503,MATCH(107,$J$6:$J$505,0)),"")</f>
        <v/>
      </c>
      <c r="B112" s="13" t="str">
        <f aca="false">IFERROR(INDEX(Journal!$C$4:$C$503,MATCH(107,$J$6:$J$505,0)),"")</f>
        <v/>
      </c>
      <c r="C112" s="13" t="str">
        <f aca="false">IFERROR(INDEX(Journal!$F$4:$F$503,MATCH(107,$J$6:$J$505,0)),"")</f>
        <v/>
      </c>
      <c r="D112" s="12" t="str">
        <f aca="false">IFERROR(INDEX(Journal!$G$4:$G$503,MATCH(107,$J$6:$J$505,0)),"")</f>
        <v/>
      </c>
      <c r="E112" s="32" t="str">
        <f aca="false">IFERROR(INDEX(Journal!$H$4:$H$503,MATCH(107,$J$6:$J$505,0)),"")</f>
        <v/>
      </c>
      <c r="F112" s="32" t="str">
        <f aca="false">IFERROR(INDEX(Journal!$I$4:$I$503,MATCH(107,$J$6:$J$505,0)),"")</f>
        <v/>
      </c>
      <c r="G112" s="33" t="str">
        <f aca="false">IF(A112="","",G111+N(E112)-N(F112))</f>
        <v/>
      </c>
      <c r="J112" s="34" t="n">
        <f aca="false">IF(Journal!$D110=$B$3,J111+1,J111)</f>
        <v>1</v>
      </c>
    </row>
    <row r="113" customFormat="false" ht="15" hidden="false" customHeight="false" outlineLevel="0" collapsed="false">
      <c r="A113" s="31" t="str">
        <f aca="false">IFERROR(INDEX(Journal!$B$4:$B$503,MATCH(108,$J$6:$J$505,0)),"")</f>
        <v/>
      </c>
      <c r="B113" s="13" t="str">
        <f aca="false">IFERROR(INDEX(Journal!$C$4:$C$503,MATCH(108,$J$6:$J$505,0)),"")</f>
        <v/>
      </c>
      <c r="C113" s="13" t="str">
        <f aca="false">IFERROR(INDEX(Journal!$F$4:$F$503,MATCH(108,$J$6:$J$505,0)),"")</f>
        <v/>
      </c>
      <c r="D113" s="12" t="str">
        <f aca="false">IFERROR(INDEX(Journal!$G$4:$G$503,MATCH(108,$J$6:$J$505,0)),"")</f>
        <v/>
      </c>
      <c r="E113" s="32" t="str">
        <f aca="false">IFERROR(INDEX(Journal!$H$4:$H$503,MATCH(108,$J$6:$J$505,0)),"")</f>
        <v/>
      </c>
      <c r="F113" s="32" t="str">
        <f aca="false">IFERROR(INDEX(Journal!$I$4:$I$503,MATCH(108,$J$6:$J$505,0)),"")</f>
        <v/>
      </c>
      <c r="G113" s="33" t="str">
        <f aca="false">IF(A113="","",G112+N(E113)-N(F113))</f>
        <v/>
      </c>
      <c r="J113" s="34" t="n">
        <f aca="false">IF(Journal!$D111=$B$3,J112+1,J112)</f>
        <v>1</v>
      </c>
    </row>
    <row r="114" customFormat="false" ht="15" hidden="false" customHeight="false" outlineLevel="0" collapsed="false">
      <c r="A114" s="31" t="str">
        <f aca="false">IFERROR(INDEX(Journal!$B$4:$B$503,MATCH(109,$J$6:$J$505,0)),"")</f>
        <v/>
      </c>
      <c r="B114" s="13" t="str">
        <f aca="false">IFERROR(INDEX(Journal!$C$4:$C$503,MATCH(109,$J$6:$J$505,0)),"")</f>
        <v/>
      </c>
      <c r="C114" s="13" t="str">
        <f aca="false">IFERROR(INDEX(Journal!$F$4:$F$503,MATCH(109,$J$6:$J$505,0)),"")</f>
        <v/>
      </c>
      <c r="D114" s="12" t="str">
        <f aca="false">IFERROR(INDEX(Journal!$G$4:$G$503,MATCH(109,$J$6:$J$505,0)),"")</f>
        <v/>
      </c>
      <c r="E114" s="32" t="str">
        <f aca="false">IFERROR(INDEX(Journal!$H$4:$H$503,MATCH(109,$J$6:$J$505,0)),"")</f>
        <v/>
      </c>
      <c r="F114" s="32" t="str">
        <f aca="false">IFERROR(INDEX(Journal!$I$4:$I$503,MATCH(109,$J$6:$J$505,0)),"")</f>
        <v/>
      </c>
      <c r="G114" s="33" t="str">
        <f aca="false">IF(A114="","",G113+N(E114)-N(F114))</f>
        <v/>
      </c>
      <c r="J114" s="34" t="n">
        <f aca="false">IF(Journal!$D112=$B$3,J113+1,J113)</f>
        <v>1</v>
      </c>
    </row>
    <row r="115" customFormat="false" ht="15" hidden="false" customHeight="false" outlineLevel="0" collapsed="false">
      <c r="A115" s="31" t="str">
        <f aca="false">IFERROR(INDEX(Journal!$B$4:$B$503,MATCH(110,$J$6:$J$505,0)),"")</f>
        <v/>
      </c>
      <c r="B115" s="13" t="str">
        <f aca="false">IFERROR(INDEX(Journal!$C$4:$C$503,MATCH(110,$J$6:$J$505,0)),"")</f>
        <v/>
      </c>
      <c r="C115" s="13" t="str">
        <f aca="false">IFERROR(INDEX(Journal!$F$4:$F$503,MATCH(110,$J$6:$J$505,0)),"")</f>
        <v/>
      </c>
      <c r="D115" s="12" t="str">
        <f aca="false">IFERROR(INDEX(Journal!$G$4:$G$503,MATCH(110,$J$6:$J$505,0)),"")</f>
        <v/>
      </c>
      <c r="E115" s="32" t="str">
        <f aca="false">IFERROR(INDEX(Journal!$H$4:$H$503,MATCH(110,$J$6:$J$505,0)),"")</f>
        <v/>
      </c>
      <c r="F115" s="32" t="str">
        <f aca="false">IFERROR(INDEX(Journal!$I$4:$I$503,MATCH(110,$J$6:$J$505,0)),"")</f>
        <v/>
      </c>
      <c r="G115" s="33" t="str">
        <f aca="false">IF(A115="","",G114+N(E115)-N(F115))</f>
        <v/>
      </c>
      <c r="J115" s="34" t="n">
        <f aca="false">IF(Journal!$D113=$B$3,J114+1,J114)</f>
        <v>1</v>
      </c>
    </row>
    <row r="116" customFormat="false" ht="15" hidden="false" customHeight="false" outlineLevel="0" collapsed="false">
      <c r="A116" s="31" t="str">
        <f aca="false">IFERROR(INDEX(Journal!$B$4:$B$503,MATCH(111,$J$6:$J$505,0)),"")</f>
        <v/>
      </c>
      <c r="B116" s="13" t="str">
        <f aca="false">IFERROR(INDEX(Journal!$C$4:$C$503,MATCH(111,$J$6:$J$505,0)),"")</f>
        <v/>
      </c>
      <c r="C116" s="13" t="str">
        <f aca="false">IFERROR(INDEX(Journal!$F$4:$F$503,MATCH(111,$J$6:$J$505,0)),"")</f>
        <v/>
      </c>
      <c r="D116" s="12" t="str">
        <f aca="false">IFERROR(INDEX(Journal!$G$4:$G$503,MATCH(111,$J$6:$J$505,0)),"")</f>
        <v/>
      </c>
      <c r="E116" s="32" t="str">
        <f aca="false">IFERROR(INDEX(Journal!$H$4:$H$503,MATCH(111,$J$6:$J$505,0)),"")</f>
        <v/>
      </c>
      <c r="F116" s="32" t="str">
        <f aca="false">IFERROR(INDEX(Journal!$I$4:$I$503,MATCH(111,$J$6:$J$505,0)),"")</f>
        <v/>
      </c>
      <c r="G116" s="33" t="str">
        <f aca="false">IF(A116="","",G115+N(E116)-N(F116))</f>
        <v/>
      </c>
      <c r="J116" s="34" t="n">
        <f aca="false">IF(Journal!$D114=$B$3,J115+1,J115)</f>
        <v>1</v>
      </c>
    </row>
    <row r="117" customFormat="false" ht="15" hidden="false" customHeight="false" outlineLevel="0" collapsed="false">
      <c r="A117" s="31" t="str">
        <f aca="false">IFERROR(INDEX(Journal!$B$4:$B$503,MATCH(112,$J$6:$J$505,0)),"")</f>
        <v/>
      </c>
      <c r="B117" s="13" t="str">
        <f aca="false">IFERROR(INDEX(Journal!$C$4:$C$503,MATCH(112,$J$6:$J$505,0)),"")</f>
        <v/>
      </c>
      <c r="C117" s="13" t="str">
        <f aca="false">IFERROR(INDEX(Journal!$F$4:$F$503,MATCH(112,$J$6:$J$505,0)),"")</f>
        <v/>
      </c>
      <c r="D117" s="12" t="str">
        <f aca="false">IFERROR(INDEX(Journal!$G$4:$G$503,MATCH(112,$J$6:$J$505,0)),"")</f>
        <v/>
      </c>
      <c r="E117" s="32" t="str">
        <f aca="false">IFERROR(INDEX(Journal!$H$4:$H$503,MATCH(112,$J$6:$J$505,0)),"")</f>
        <v/>
      </c>
      <c r="F117" s="32" t="str">
        <f aca="false">IFERROR(INDEX(Journal!$I$4:$I$503,MATCH(112,$J$6:$J$505,0)),"")</f>
        <v/>
      </c>
      <c r="G117" s="33" t="str">
        <f aca="false">IF(A117="","",G116+N(E117)-N(F117))</f>
        <v/>
      </c>
      <c r="J117" s="34" t="n">
        <f aca="false">IF(Journal!$D115=$B$3,J116+1,J116)</f>
        <v>1</v>
      </c>
    </row>
    <row r="118" customFormat="false" ht="15" hidden="false" customHeight="false" outlineLevel="0" collapsed="false">
      <c r="A118" s="31" t="str">
        <f aca="false">IFERROR(INDEX(Journal!$B$4:$B$503,MATCH(113,$J$6:$J$505,0)),"")</f>
        <v/>
      </c>
      <c r="B118" s="13" t="str">
        <f aca="false">IFERROR(INDEX(Journal!$C$4:$C$503,MATCH(113,$J$6:$J$505,0)),"")</f>
        <v/>
      </c>
      <c r="C118" s="13" t="str">
        <f aca="false">IFERROR(INDEX(Journal!$F$4:$F$503,MATCH(113,$J$6:$J$505,0)),"")</f>
        <v/>
      </c>
      <c r="D118" s="12" t="str">
        <f aca="false">IFERROR(INDEX(Journal!$G$4:$G$503,MATCH(113,$J$6:$J$505,0)),"")</f>
        <v/>
      </c>
      <c r="E118" s="32" t="str">
        <f aca="false">IFERROR(INDEX(Journal!$H$4:$H$503,MATCH(113,$J$6:$J$505,0)),"")</f>
        <v/>
      </c>
      <c r="F118" s="32" t="str">
        <f aca="false">IFERROR(INDEX(Journal!$I$4:$I$503,MATCH(113,$J$6:$J$505,0)),"")</f>
        <v/>
      </c>
      <c r="G118" s="33" t="str">
        <f aca="false">IF(A118="","",G117+N(E118)-N(F118))</f>
        <v/>
      </c>
      <c r="J118" s="34" t="n">
        <f aca="false">IF(Journal!$D116=$B$3,J117+1,J117)</f>
        <v>1</v>
      </c>
    </row>
    <row r="119" customFormat="false" ht="15" hidden="false" customHeight="false" outlineLevel="0" collapsed="false">
      <c r="A119" s="31" t="str">
        <f aca="false">IFERROR(INDEX(Journal!$B$4:$B$503,MATCH(114,$J$6:$J$505,0)),"")</f>
        <v/>
      </c>
      <c r="B119" s="13" t="str">
        <f aca="false">IFERROR(INDEX(Journal!$C$4:$C$503,MATCH(114,$J$6:$J$505,0)),"")</f>
        <v/>
      </c>
      <c r="C119" s="13" t="str">
        <f aca="false">IFERROR(INDEX(Journal!$F$4:$F$503,MATCH(114,$J$6:$J$505,0)),"")</f>
        <v/>
      </c>
      <c r="D119" s="12" t="str">
        <f aca="false">IFERROR(INDEX(Journal!$G$4:$G$503,MATCH(114,$J$6:$J$505,0)),"")</f>
        <v/>
      </c>
      <c r="E119" s="32" t="str">
        <f aca="false">IFERROR(INDEX(Journal!$H$4:$H$503,MATCH(114,$J$6:$J$505,0)),"")</f>
        <v/>
      </c>
      <c r="F119" s="32" t="str">
        <f aca="false">IFERROR(INDEX(Journal!$I$4:$I$503,MATCH(114,$J$6:$J$505,0)),"")</f>
        <v/>
      </c>
      <c r="G119" s="33" t="str">
        <f aca="false">IF(A119="","",G118+N(E119)-N(F119))</f>
        <v/>
      </c>
      <c r="J119" s="34" t="n">
        <f aca="false">IF(Journal!$D117=$B$3,J118+1,J118)</f>
        <v>1</v>
      </c>
    </row>
    <row r="120" customFormat="false" ht="15" hidden="false" customHeight="false" outlineLevel="0" collapsed="false">
      <c r="A120" s="31" t="str">
        <f aca="false">IFERROR(INDEX(Journal!$B$4:$B$503,MATCH(115,$J$6:$J$505,0)),"")</f>
        <v/>
      </c>
      <c r="B120" s="13" t="str">
        <f aca="false">IFERROR(INDEX(Journal!$C$4:$C$503,MATCH(115,$J$6:$J$505,0)),"")</f>
        <v/>
      </c>
      <c r="C120" s="13" t="str">
        <f aca="false">IFERROR(INDEX(Journal!$F$4:$F$503,MATCH(115,$J$6:$J$505,0)),"")</f>
        <v/>
      </c>
      <c r="D120" s="12" t="str">
        <f aca="false">IFERROR(INDEX(Journal!$G$4:$G$503,MATCH(115,$J$6:$J$505,0)),"")</f>
        <v/>
      </c>
      <c r="E120" s="32" t="str">
        <f aca="false">IFERROR(INDEX(Journal!$H$4:$H$503,MATCH(115,$J$6:$J$505,0)),"")</f>
        <v/>
      </c>
      <c r="F120" s="32" t="str">
        <f aca="false">IFERROR(INDEX(Journal!$I$4:$I$503,MATCH(115,$J$6:$J$505,0)),"")</f>
        <v/>
      </c>
      <c r="G120" s="33" t="str">
        <f aca="false">IF(A120="","",G119+N(E120)-N(F120))</f>
        <v/>
      </c>
      <c r="J120" s="34" t="n">
        <f aca="false">IF(Journal!$D118=$B$3,J119+1,J119)</f>
        <v>1</v>
      </c>
    </row>
    <row r="121" customFormat="false" ht="15" hidden="false" customHeight="false" outlineLevel="0" collapsed="false">
      <c r="A121" s="31" t="str">
        <f aca="false">IFERROR(INDEX(Journal!$B$4:$B$503,MATCH(116,$J$6:$J$505,0)),"")</f>
        <v/>
      </c>
      <c r="B121" s="13" t="str">
        <f aca="false">IFERROR(INDEX(Journal!$C$4:$C$503,MATCH(116,$J$6:$J$505,0)),"")</f>
        <v/>
      </c>
      <c r="C121" s="13" t="str">
        <f aca="false">IFERROR(INDEX(Journal!$F$4:$F$503,MATCH(116,$J$6:$J$505,0)),"")</f>
        <v/>
      </c>
      <c r="D121" s="12" t="str">
        <f aca="false">IFERROR(INDEX(Journal!$G$4:$G$503,MATCH(116,$J$6:$J$505,0)),"")</f>
        <v/>
      </c>
      <c r="E121" s="32" t="str">
        <f aca="false">IFERROR(INDEX(Journal!$H$4:$H$503,MATCH(116,$J$6:$J$505,0)),"")</f>
        <v/>
      </c>
      <c r="F121" s="32" t="str">
        <f aca="false">IFERROR(INDEX(Journal!$I$4:$I$503,MATCH(116,$J$6:$J$505,0)),"")</f>
        <v/>
      </c>
      <c r="G121" s="33" t="str">
        <f aca="false">IF(A121="","",G120+N(E121)-N(F121))</f>
        <v/>
      </c>
      <c r="J121" s="34" t="n">
        <f aca="false">IF(Journal!$D119=$B$3,J120+1,J120)</f>
        <v>1</v>
      </c>
    </row>
    <row r="122" customFormat="false" ht="15" hidden="false" customHeight="false" outlineLevel="0" collapsed="false">
      <c r="A122" s="31" t="str">
        <f aca="false">IFERROR(INDEX(Journal!$B$4:$B$503,MATCH(117,$J$6:$J$505,0)),"")</f>
        <v/>
      </c>
      <c r="B122" s="13" t="str">
        <f aca="false">IFERROR(INDEX(Journal!$C$4:$C$503,MATCH(117,$J$6:$J$505,0)),"")</f>
        <v/>
      </c>
      <c r="C122" s="13" t="str">
        <f aca="false">IFERROR(INDEX(Journal!$F$4:$F$503,MATCH(117,$J$6:$J$505,0)),"")</f>
        <v/>
      </c>
      <c r="D122" s="12" t="str">
        <f aca="false">IFERROR(INDEX(Journal!$G$4:$G$503,MATCH(117,$J$6:$J$505,0)),"")</f>
        <v/>
      </c>
      <c r="E122" s="32" t="str">
        <f aca="false">IFERROR(INDEX(Journal!$H$4:$H$503,MATCH(117,$J$6:$J$505,0)),"")</f>
        <v/>
      </c>
      <c r="F122" s="32" t="str">
        <f aca="false">IFERROR(INDEX(Journal!$I$4:$I$503,MATCH(117,$J$6:$J$505,0)),"")</f>
        <v/>
      </c>
      <c r="G122" s="33" t="str">
        <f aca="false">IF(A122="","",G121+N(E122)-N(F122))</f>
        <v/>
      </c>
      <c r="J122" s="34" t="n">
        <f aca="false">IF(Journal!$D120=$B$3,J121+1,J121)</f>
        <v>1</v>
      </c>
    </row>
    <row r="123" customFormat="false" ht="15" hidden="false" customHeight="false" outlineLevel="0" collapsed="false">
      <c r="A123" s="31" t="str">
        <f aca="false">IFERROR(INDEX(Journal!$B$4:$B$503,MATCH(118,$J$6:$J$505,0)),"")</f>
        <v/>
      </c>
      <c r="B123" s="13" t="str">
        <f aca="false">IFERROR(INDEX(Journal!$C$4:$C$503,MATCH(118,$J$6:$J$505,0)),"")</f>
        <v/>
      </c>
      <c r="C123" s="13" t="str">
        <f aca="false">IFERROR(INDEX(Journal!$F$4:$F$503,MATCH(118,$J$6:$J$505,0)),"")</f>
        <v/>
      </c>
      <c r="D123" s="12" t="str">
        <f aca="false">IFERROR(INDEX(Journal!$G$4:$G$503,MATCH(118,$J$6:$J$505,0)),"")</f>
        <v/>
      </c>
      <c r="E123" s="32" t="str">
        <f aca="false">IFERROR(INDEX(Journal!$H$4:$H$503,MATCH(118,$J$6:$J$505,0)),"")</f>
        <v/>
      </c>
      <c r="F123" s="32" t="str">
        <f aca="false">IFERROR(INDEX(Journal!$I$4:$I$503,MATCH(118,$J$6:$J$505,0)),"")</f>
        <v/>
      </c>
      <c r="G123" s="33" t="str">
        <f aca="false">IF(A123="","",G122+N(E123)-N(F123))</f>
        <v/>
      </c>
      <c r="J123" s="34" t="n">
        <f aca="false">IF(Journal!$D121=$B$3,J122+1,J122)</f>
        <v>1</v>
      </c>
    </row>
    <row r="124" customFormat="false" ht="15" hidden="false" customHeight="false" outlineLevel="0" collapsed="false">
      <c r="A124" s="31" t="str">
        <f aca="false">IFERROR(INDEX(Journal!$B$4:$B$503,MATCH(119,$J$6:$J$505,0)),"")</f>
        <v/>
      </c>
      <c r="B124" s="13" t="str">
        <f aca="false">IFERROR(INDEX(Journal!$C$4:$C$503,MATCH(119,$J$6:$J$505,0)),"")</f>
        <v/>
      </c>
      <c r="C124" s="13" t="str">
        <f aca="false">IFERROR(INDEX(Journal!$F$4:$F$503,MATCH(119,$J$6:$J$505,0)),"")</f>
        <v/>
      </c>
      <c r="D124" s="12" t="str">
        <f aca="false">IFERROR(INDEX(Journal!$G$4:$G$503,MATCH(119,$J$6:$J$505,0)),"")</f>
        <v/>
      </c>
      <c r="E124" s="32" t="str">
        <f aca="false">IFERROR(INDEX(Journal!$H$4:$H$503,MATCH(119,$J$6:$J$505,0)),"")</f>
        <v/>
      </c>
      <c r="F124" s="32" t="str">
        <f aca="false">IFERROR(INDEX(Journal!$I$4:$I$503,MATCH(119,$J$6:$J$505,0)),"")</f>
        <v/>
      </c>
      <c r="G124" s="33" t="str">
        <f aca="false">IF(A124="","",G123+N(E124)-N(F124))</f>
        <v/>
      </c>
      <c r="J124" s="34" t="n">
        <f aca="false">IF(Journal!$D122=$B$3,J123+1,J123)</f>
        <v>1</v>
      </c>
    </row>
    <row r="125" customFormat="false" ht="15" hidden="false" customHeight="false" outlineLevel="0" collapsed="false">
      <c r="A125" s="31" t="str">
        <f aca="false">IFERROR(INDEX(Journal!$B$4:$B$503,MATCH(120,$J$6:$J$505,0)),"")</f>
        <v/>
      </c>
      <c r="B125" s="13" t="str">
        <f aca="false">IFERROR(INDEX(Journal!$C$4:$C$503,MATCH(120,$J$6:$J$505,0)),"")</f>
        <v/>
      </c>
      <c r="C125" s="13" t="str">
        <f aca="false">IFERROR(INDEX(Journal!$F$4:$F$503,MATCH(120,$J$6:$J$505,0)),"")</f>
        <v/>
      </c>
      <c r="D125" s="12" t="str">
        <f aca="false">IFERROR(INDEX(Journal!$G$4:$G$503,MATCH(120,$J$6:$J$505,0)),"")</f>
        <v/>
      </c>
      <c r="E125" s="32" t="str">
        <f aca="false">IFERROR(INDEX(Journal!$H$4:$H$503,MATCH(120,$J$6:$J$505,0)),"")</f>
        <v/>
      </c>
      <c r="F125" s="32" t="str">
        <f aca="false">IFERROR(INDEX(Journal!$I$4:$I$503,MATCH(120,$J$6:$J$505,0)),"")</f>
        <v/>
      </c>
      <c r="G125" s="33" t="str">
        <f aca="false">IF(A125="","",G124+N(E125)-N(F125))</f>
        <v/>
      </c>
      <c r="J125" s="34" t="n">
        <f aca="false">IF(Journal!$D123=$B$3,J124+1,J124)</f>
        <v>1</v>
      </c>
    </row>
    <row r="126" customFormat="false" ht="15" hidden="false" customHeight="false" outlineLevel="0" collapsed="false">
      <c r="A126" s="31" t="str">
        <f aca="false">IFERROR(INDEX(Journal!$B$4:$B$503,MATCH(121,$J$6:$J$505,0)),"")</f>
        <v/>
      </c>
      <c r="B126" s="13" t="str">
        <f aca="false">IFERROR(INDEX(Journal!$C$4:$C$503,MATCH(121,$J$6:$J$505,0)),"")</f>
        <v/>
      </c>
      <c r="C126" s="13" t="str">
        <f aca="false">IFERROR(INDEX(Journal!$F$4:$F$503,MATCH(121,$J$6:$J$505,0)),"")</f>
        <v/>
      </c>
      <c r="D126" s="12" t="str">
        <f aca="false">IFERROR(INDEX(Journal!$G$4:$G$503,MATCH(121,$J$6:$J$505,0)),"")</f>
        <v/>
      </c>
      <c r="E126" s="32" t="str">
        <f aca="false">IFERROR(INDEX(Journal!$H$4:$H$503,MATCH(121,$J$6:$J$505,0)),"")</f>
        <v/>
      </c>
      <c r="F126" s="32" t="str">
        <f aca="false">IFERROR(INDEX(Journal!$I$4:$I$503,MATCH(121,$J$6:$J$505,0)),"")</f>
        <v/>
      </c>
      <c r="G126" s="33" t="str">
        <f aca="false">IF(A126="","",G125+N(E126)-N(F126))</f>
        <v/>
      </c>
      <c r="J126" s="34" t="n">
        <f aca="false">IF(Journal!$D124=$B$3,J125+1,J125)</f>
        <v>1</v>
      </c>
    </row>
    <row r="127" customFormat="false" ht="15" hidden="false" customHeight="false" outlineLevel="0" collapsed="false">
      <c r="A127" s="31" t="str">
        <f aca="false">IFERROR(INDEX(Journal!$B$4:$B$503,MATCH(122,$J$6:$J$505,0)),"")</f>
        <v/>
      </c>
      <c r="B127" s="13" t="str">
        <f aca="false">IFERROR(INDEX(Journal!$C$4:$C$503,MATCH(122,$J$6:$J$505,0)),"")</f>
        <v/>
      </c>
      <c r="C127" s="13" t="str">
        <f aca="false">IFERROR(INDEX(Journal!$F$4:$F$503,MATCH(122,$J$6:$J$505,0)),"")</f>
        <v/>
      </c>
      <c r="D127" s="12" t="str">
        <f aca="false">IFERROR(INDEX(Journal!$G$4:$G$503,MATCH(122,$J$6:$J$505,0)),"")</f>
        <v/>
      </c>
      <c r="E127" s="32" t="str">
        <f aca="false">IFERROR(INDEX(Journal!$H$4:$H$503,MATCH(122,$J$6:$J$505,0)),"")</f>
        <v/>
      </c>
      <c r="F127" s="32" t="str">
        <f aca="false">IFERROR(INDEX(Journal!$I$4:$I$503,MATCH(122,$J$6:$J$505,0)),"")</f>
        <v/>
      </c>
      <c r="G127" s="33" t="str">
        <f aca="false">IF(A127="","",G126+N(E127)-N(F127))</f>
        <v/>
      </c>
      <c r="J127" s="34" t="n">
        <f aca="false">IF(Journal!$D125=$B$3,J126+1,J126)</f>
        <v>1</v>
      </c>
    </row>
    <row r="128" customFormat="false" ht="15" hidden="false" customHeight="false" outlineLevel="0" collapsed="false">
      <c r="A128" s="31" t="str">
        <f aca="false">IFERROR(INDEX(Journal!$B$4:$B$503,MATCH(123,$J$6:$J$505,0)),"")</f>
        <v/>
      </c>
      <c r="B128" s="13" t="str">
        <f aca="false">IFERROR(INDEX(Journal!$C$4:$C$503,MATCH(123,$J$6:$J$505,0)),"")</f>
        <v/>
      </c>
      <c r="C128" s="13" t="str">
        <f aca="false">IFERROR(INDEX(Journal!$F$4:$F$503,MATCH(123,$J$6:$J$505,0)),"")</f>
        <v/>
      </c>
      <c r="D128" s="12" t="str">
        <f aca="false">IFERROR(INDEX(Journal!$G$4:$G$503,MATCH(123,$J$6:$J$505,0)),"")</f>
        <v/>
      </c>
      <c r="E128" s="32" t="str">
        <f aca="false">IFERROR(INDEX(Journal!$H$4:$H$503,MATCH(123,$J$6:$J$505,0)),"")</f>
        <v/>
      </c>
      <c r="F128" s="32" t="str">
        <f aca="false">IFERROR(INDEX(Journal!$I$4:$I$503,MATCH(123,$J$6:$J$505,0)),"")</f>
        <v/>
      </c>
      <c r="G128" s="33" t="str">
        <f aca="false">IF(A128="","",G127+N(E128)-N(F128))</f>
        <v/>
      </c>
      <c r="J128" s="34" t="n">
        <f aca="false">IF(Journal!$D126=$B$3,J127+1,J127)</f>
        <v>1</v>
      </c>
    </row>
    <row r="129" customFormat="false" ht="15" hidden="false" customHeight="false" outlineLevel="0" collapsed="false">
      <c r="A129" s="31" t="str">
        <f aca="false">IFERROR(INDEX(Journal!$B$4:$B$503,MATCH(124,$J$6:$J$505,0)),"")</f>
        <v/>
      </c>
      <c r="B129" s="13" t="str">
        <f aca="false">IFERROR(INDEX(Journal!$C$4:$C$503,MATCH(124,$J$6:$J$505,0)),"")</f>
        <v/>
      </c>
      <c r="C129" s="13" t="str">
        <f aca="false">IFERROR(INDEX(Journal!$F$4:$F$503,MATCH(124,$J$6:$J$505,0)),"")</f>
        <v/>
      </c>
      <c r="D129" s="12" t="str">
        <f aca="false">IFERROR(INDEX(Journal!$G$4:$G$503,MATCH(124,$J$6:$J$505,0)),"")</f>
        <v/>
      </c>
      <c r="E129" s="32" t="str">
        <f aca="false">IFERROR(INDEX(Journal!$H$4:$H$503,MATCH(124,$J$6:$J$505,0)),"")</f>
        <v/>
      </c>
      <c r="F129" s="32" t="str">
        <f aca="false">IFERROR(INDEX(Journal!$I$4:$I$503,MATCH(124,$J$6:$J$505,0)),"")</f>
        <v/>
      </c>
      <c r="G129" s="33" t="str">
        <f aca="false">IF(A129="","",G128+N(E129)-N(F129))</f>
        <v/>
      </c>
      <c r="J129" s="34" t="n">
        <f aca="false">IF(Journal!$D127=$B$3,J128+1,J128)</f>
        <v>1</v>
      </c>
    </row>
    <row r="130" customFormat="false" ht="15" hidden="false" customHeight="false" outlineLevel="0" collapsed="false">
      <c r="A130" s="31" t="str">
        <f aca="false">IFERROR(INDEX(Journal!$B$4:$B$503,MATCH(125,$J$6:$J$505,0)),"")</f>
        <v/>
      </c>
      <c r="B130" s="13" t="str">
        <f aca="false">IFERROR(INDEX(Journal!$C$4:$C$503,MATCH(125,$J$6:$J$505,0)),"")</f>
        <v/>
      </c>
      <c r="C130" s="13" t="str">
        <f aca="false">IFERROR(INDEX(Journal!$F$4:$F$503,MATCH(125,$J$6:$J$505,0)),"")</f>
        <v/>
      </c>
      <c r="D130" s="12" t="str">
        <f aca="false">IFERROR(INDEX(Journal!$G$4:$G$503,MATCH(125,$J$6:$J$505,0)),"")</f>
        <v/>
      </c>
      <c r="E130" s="32" t="str">
        <f aca="false">IFERROR(INDEX(Journal!$H$4:$H$503,MATCH(125,$J$6:$J$505,0)),"")</f>
        <v/>
      </c>
      <c r="F130" s="32" t="str">
        <f aca="false">IFERROR(INDEX(Journal!$I$4:$I$503,MATCH(125,$J$6:$J$505,0)),"")</f>
        <v/>
      </c>
      <c r="G130" s="33" t="str">
        <f aca="false">IF(A130="","",G129+N(E130)-N(F130))</f>
        <v/>
      </c>
      <c r="J130" s="34" t="n">
        <f aca="false">IF(Journal!$D128=$B$3,J129+1,J129)</f>
        <v>1</v>
      </c>
    </row>
    <row r="131" customFormat="false" ht="15" hidden="false" customHeight="false" outlineLevel="0" collapsed="false">
      <c r="A131" s="31" t="str">
        <f aca="false">IFERROR(INDEX(Journal!$B$4:$B$503,MATCH(126,$J$6:$J$505,0)),"")</f>
        <v/>
      </c>
      <c r="B131" s="13" t="str">
        <f aca="false">IFERROR(INDEX(Journal!$C$4:$C$503,MATCH(126,$J$6:$J$505,0)),"")</f>
        <v/>
      </c>
      <c r="C131" s="13" t="str">
        <f aca="false">IFERROR(INDEX(Journal!$F$4:$F$503,MATCH(126,$J$6:$J$505,0)),"")</f>
        <v/>
      </c>
      <c r="D131" s="12" t="str">
        <f aca="false">IFERROR(INDEX(Journal!$G$4:$G$503,MATCH(126,$J$6:$J$505,0)),"")</f>
        <v/>
      </c>
      <c r="E131" s="32" t="str">
        <f aca="false">IFERROR(INDEX(Journal!$H$4:$H$503,MATCH(126,$J$6:$J$505,0)),"")</f>
        <v/>
      </c>
      <c r="F131" s="32" t="str">
        <f aca="false">IFERROR(INDEX(Journal!$I$4:$I$503,MATCH(126,$J$6:$J$505,0)),"")</f>
        <v/>
      </c>
      <c r="G131" s="33" t="str">
        <f aca="false">IF(A131="","",G130+N(E131)-N(F131))</f>
        <v/>
      </c>
      <c r="J131" s="34" t="n">
        <f aca="false">IF(Journal!$D129=$B$3,J130+1,J130)</f>
        <v>1</v>
      </c>
    </row>
    <row r="132" customFormat="false" ht="15" hidden="false" customHeight="false" outlineLevel="0" collapsed="false">
      <c r="A132" s="31" t="str">
        <f aca="false">IFERROR(INDEX(Journal!$B$4:$B$503,MATCH(127,$J$6:$J$505,0)),"")</f>
        <v/>
      </c>
      <c r="B132" s="13" t="str">
        <f aca="false">IFERROR(INDEX(Journal!$C$4:$C$503,MATCH(127,$J$6:$J$505,0)),"")</f>
        <v/>
      </c>
      <c r="C132" s="13" t="str">
        <f aca="false">IFERROR(INDEX(Journal!$F$4:$F$503,MATCH(127,$J$6:$J$505,0)),"")</f>
        <v/>
      </c>
      <c r="D132" s="12" t="str">
        <f aca="false">IFERROR(INDEX(Journal!$G$4:$G$503,MATCH(127,$J$6:$J$505,0)),"")</f>
        <v/>
      </c>
      <c r="E132" s="32" t="str">
        <f aca="false">IFERROR(INDEX(Journal!$H$4:$H$503,MATCH(127,$J$6:$J$505,0)),"")</f>
        <v/>
      </c>
      <c r="F132" s="32" t="str">
        <f aca="false">IFERROR(INDEX(Journal!$I$4:$I$503,MATCH(127,$J$6:$J$505,0)),"")</f>
        <v/>
      </c>
      <c r="G132" s="33" t="str">
        <f aca="false">IF(A132="","",G131+N(E132)-N(F132))</f>
        <v/>
      </c>
      <c r="J132" s="34" t="n">
        <f aca="false">IF(Journal!$D130=$B$3,J131+1,J131)</f>
        <v>1</v>
      </c>
    </row>
    <row r="133" customFormat="false" ht="15" hidden="false" customHeight="false" outlineLevel="0" collapsed="false">
      <c r="A133" s="31" t="str">
        <f aca="false">IFERROR(INDEX(Journal!$B$4:$B$503,MATCH(128,$J$6:$J$505,0)),"")</f>
        <v/>
      </c>
      <c r="B133" s="13" t="str">
        <f aca="false">IFERROR(INDEX(Journal!$C$4:$C$503,MATCH(128,$J$6:$J$505,0)),"")</f>
        <v/>
      </c>
      <c r="C133" s="13" t="str">
        <f aca="false">IFERROR(INDEX(Journal!$F$4:$F$503,MATCH(128,$J$6:$J$505,0)),"")</f>
        <v/>
      </c>
      <c r="D133" s="12" t="str">
        <f aca="false">IFERROR(INDEX(Journal!$G$4:$G$503,MATCH(128,$J$6:$J$505,0)),"")</f>
        <v/>
      </c>
      <c r="E133" s="32" t="str">
        <f aca="false">IFERROR(INDEX(Journal!$H$4:$H$503,MATCH(128,$J$6:$J$505,0)),"")</f>
        <v/>
      </c>
      <c r="F133" s="32" t="str">
        <f aca="false">IFERROR(INDEX(Journal!$I$4:$I$503,MATCH(128,$J$6:$J$505,0)),"")</f>
        <v/>
      </c>
      <c r="G133" s="33" t="str">
        <f aca="false">IF(A133="","",G132+N(E133)-N(F133))</f>
        <v/>
      </c>
      <c r="J133" s="34" t="n">
        <f aca="false">IF(Journal!$D131=$B$3,J132+1,J132)</f>
        <v>1</v>
      </c>
    </row>
    <row r="134" customFormat="false" ht="15" hidden="false" customHeight="false" outlineLevel="0" collapsed="false">
      <c r="A134" s="31" t="str">
        <f aca="false">IFERROR(INDEX(Journal!$B$4:$B$503,MATCH(129,$J$6:$J$505,0)),"")</f>
        <v/>
      </c>
      <c r="B134" s="13" t="str">
        <f aca="false">IFERROR(INDEX(Journal!$C$4:$C$503,MATCH(129,$J$6:$J$505,0)),"")</f>
        <v/>
      </c>
      <c r="C134" s="13" t="str">
        <f aca="false">IFERROR(INDEX(Journal!$F$4:$F$503,MATCH(129,$J$6:$J$505,0)),"")</f>
        <v/>
      </c>
      <c r="D134" s="12" t="str">
        <f aca="false">IFERROR(INDEX(Journal!$G$4:$G$503,MATCH(129,$J$6:$J$505,0)),"")</f>
        <v/>
      </c>
      <c r="E134" s="32" t="str">
        <f aca="false">IFERROR(INDEX(Journal!$H$4:$H$503,MATCH(129,$J$6:$J$505,0)),"")</f>
        <v/>
      </c>
      <c r="F134" s="32" t="str">
        <f aca="false">IFERROR(INDEX(Journal!$I$4:$I$503,MATCH(129,$J$6:$J$505,0)),"")</f>
        <v/>
      </c>
      <c r="G134" s="33" t="str">
        <f aca="false">IF(A134="","",G133+N(E134)-N(F134))</f>
        <v/>
      </c>
      <c r="J134" s="34" t="n">
        <f aca="false">IF(Journal!$D132=$B$3,J133+1,J133)</f>
        <v>1</v>
      </c>
    </row>
    <row r="135" customFormat="false" ht="15" hidden="false" customHeight="false" outlineLevel="0" collapsed="false">
      <c r="A135" s="31" t="str">
        <f aca="false">IFERROR(INDEX(Journal!$B$4:$B$503,MATCH(130,$J$6:$J$505,0)),"")</f>
        <v/>
      </c>
      <c r="B135" s="13" t="str">
        <f aca="false">IFERROR(INDEX(Journal!$C$4:$C$503,MATCH(130,$J$6:$J$505,0)),"")</f>
        <v/>
      </c>
      <c r="C135" s="13" t="str">
        <f aca="false">IFERROR(INDEX(Journal!$F$4:$F$503,MATCH(130,$J$6:$J$505,0)),"")</f>
        <v/>
      </c>
      <c r="D135" s="12" t="str">
        <f aca="false">IFERROR(INDEX(Journal!$G$4:$G$503,MATCH(130,$J$6:$J$505,0)),"")</f>
        <v/>
      </c>
      <c r="E135" s="32" t="str">
        <f aca="false">IFERROR(INDEX(Journal!$H$4:$H$503,MATCH(130,$J$6:$J$505,0)),"")</f>
        <v/>
      </c>
      <c r="F135" s="32" t="str">
        <f aca="false">IFERROR(INDEX(Journal!$I$4:$I$503,MATCH(130,$J$6:$J$505,0)),"")</f>
        <v/>
      </c>
      <c r="G135" s="33" t="str">
        <f aca="false">IF(A135="","",G134+N(E135)-N(F135))</f>
        <v/>
      </c>
      <c r="J135" s="34" t="n">
        <f aca="false">IF(Journal!$D133=$B$3,J134+1,J134)</f>
        <v>1</v>
      </c>
    </row>
    <row r="136" customFormat="false" ht="15" hidden="false" customHeight="false" outlineLevel="0" collapsed="false">
      <c r="A136" s="31" t="str">
        <f aca="false">IFERROR(INDEX(Journal!$B$4:$B$503,MATCH(131,$J$6:$J$505,0)),"")</f>
        <v/>
      </c>
      <c r="B136" s="13" t="str">
        <f aca="false">IFERROR(INDEX(Journal!$C$4:$C$503,MATCH(131,$J$6:$J$505,0)),"")</f>
        <v/>
      </c>
      <c r="C136" s="13" t="str">
        <f aca="false">IFERROR(INDEX(Journal!$F$4:$F$503,MATCH(131,$J$6:$J$505,0)),"")</f>
        <v/>
      </c>
      <c r="D136" s="12" t="str">
        <f aca="false">IFERROR(INDEX(Journal!$G$4:$G$503,MATCH(131,$J$6:$J$505,0)),"")</f>
        <v/>
      </c>
      <c r="E136" s="32" t="str">
        <f aca="false">IFERROR(INDEX(Journal!$H$4:$H$503,MATCH(131,$J$6:$J$505,0)),"")</f>
        <v/>
      </c>
      <c r="F136" s="32" t="str">
        <f aca="false">IFERROR(INDEX(Journal!$I$4:$I$503,MATCH(131,$J$6:$J$505,0)),"")</f>
        <v/>
      </c>
      <c r="G136" s="33" t="str">
        <f aca="false">IF(A136="","",G135+N(E136)-N(F136))</f>
        <v/>
      </c>
      <c r="J136" s="34" t="n">
        <f aca="false">IF(Journal!$D134=$B$3,J135+1,J135)</f>
        <v>1</v>
      </c>
    </row>
    <row r="137" customFormat="false" ht="15" hidden="false" customHeight="false" outlineLevel="0" collapsed="false">
      <c r="A137" s="31" t="str">
        <f aca="false">IFERROR(INDEX(Journal!$B$4:$B$503,MATCH(132,$J$6:$J$505,0)),"")</f>
        <v/>
      </c>
      <c r="B137" s="13" t="str">
        <f aca="false">IFERROR(INDEX(Journal!$C$4:$C$503,MATCH(132,$J$6:$J$505,0)),"")</f>
        <v/>
      </c>
      <c r="C137" s="13" t="str">
        <f aca="false">IFERROR(INDEX(Journal!$F$4:$F$503,MATCH(132,$J$6:$J$505,0)),"")</f>
        <v/>
      </c>
      <c r="D137" s="12" t="str">
        <f aca="false">IFERROR(INDEX(Journal!$G$4:$G$503,MATCH(132,$J$6:$J$505,0)),"")</f>
        <v/>
      </c>
      <c r="E137" s="32" t="str">
        <f aca="false">IFERROR(INDEX(Journal!$H$4:$H$503,MATCH(132,$J$6:$J$505,0)),"")</f>
        <v/>
      </c>
      <c r="F137" s="32" t="str">
        <f aca="false">IFERROR(INDEX(Journal!$I$4:$I$503,MATCH(132,$J$6:$J$505,0)),"")</f>
        <v/>
      </c>
      <c r="G137" s="33" t="str">
        <f aca="false">IF(A137="","",G136+N(E137)-N(F137))</f>
        <v/>
      </c>
      <c r="J137" s="34" t="n">
        <f aca="false">IF(Journal!$D135=$B$3,J136+1,J136)</f>
        <v>1</v>
      </c>
    </row>
    <row r="138" customFormat="false" ht="15" hidden="false" customHeight="false" outlineLevel="0" collapsed="false">
      <c r="A138" s="31" t="str">
        <f aca="false">IFERROR(INDEX(Journal!$B$4:$B$503,MATCH(133,$J$6:$J$505,0)),"")</f>
        <v/>
      </c>
      <c r="B138" s="13" t="str">
        <f aca="false">IFERROR(INDEX(Journal!$C$4:$C$503,MATCH(133,$J$6:$J$505,0)),"")</f>
        <v/>
      </c>
      <c r="C138" s="13" t="str">
        <f aca="false">IFERROR(INDEX(Journal!$F$4:$F$503,MATCH(133,$J$6:$J$505,0)),"")</f>
        <v/>
      </c>
      <c r="D138" s="12" t="str">
        <f aca="false">IFERROR(INDEX(Journal!$G$4:$G$503,MATCH(133,$J$6:$J$505,0)),"")</f>
        <v/>
      </c>
      <c r="E138" s="32" t="str">
        <f aca="false">IFERROR(INDEX(Journal!$H$4:$H$503,MATCH(133,$J$6:$J$505,0)),"")</f>
        <v/>
      </c>
      <c r="F138" s="32" t="str">
        <f aca="false">IFERROR(INDEX(Journal!$I$4:$I$503,MATCH(133,$J$6:$J$505,0)),"")</f>
        <v/>
      </c>
      <c r="G138" s="33" t="str">
        <f aca="false">IF(A138="","",G137+N(E138)-N(F138))</f>
        <v/>
      </c>
      <c r="J138" s="34" t="n">
        <f aca="false">IF(Journal!$D136=$B$3,J137+1,J137)</f>
        <v>1</v>
      </c>
    </row>
    <row r="139" customFormat="false" ht="15" hidden="false" customHeight="false" outlineLevel="0" collapsed="false">
      <c r="A139" s="31" t="str">
        <f aca="false">IFERROR(INDEX(Journal!$B$4:$B$503,MATCH(134,$J$6:$J$505,0)),"")</f>
        <v/>
      </c>
      <c r="B139" s="13" t="str">
        <f aca="false">IFERROR(INDEX(Journal!$C$4:$C$503,MATCH(134,$J$6:$J$505,0)),"")</f>
        <v/>
      </c>
      <c r="C139" s="13" t="str">
        <f aca="false">IFERROR(INDEX(Journal!$F$4:$F$503,MATCH(134,$J$6:$J$505,0)),"")</f>
        <v/>
      </c>
      <c r="D139" s="12" t="str">
        <f aca="false">IFERROR(INDEX(Journal!$G$4:$G$503,MATCH(134,$J$6:$J$505,0)),"")</f>
        <v/>
      </c>
      <c r="E139" s="32" t="str">
        <f aca="false">IFERROR(INDEX(Journal!$H$4:$H$503,MATCH(134,$J$6:$J$505,0)),"")</f>
        <v/>
      </c>
      <c r="F139" s="32" t="str">
        <f aca="false">IFERROR(INDEX(Journal!$I$4:$I$503,MATCH(134,$J$6:$J$505,0)),"")</f>
        <v/>
      </c>
      <c r="G139" s="33" t="str">
        <f aca="false">IF(A139="","",G138+N(E139)-N(F139))</f>
        <v/>
      </c>
      <c r="J139" s="34" t="n">
        <f aca="false">IF(Journal!$D137=$B$3,J138+1,J138)</f>
        <v>1</v>
      </c>
    </row>
    <row r="140" customFormat="false" ht="15" hidden="false" customHeight="false" outlineLevel="0" collapsed="false">
      <c r="A140" s="31" t="str">
        <f aca="false">IFERROR(INDEX(Journal!$B$4:$B$503,MATCH(135,$J$6:$J$505,0)),"")</f>
        <v/>
      </c>
      <c r="B140" s="13" t="str">
        <f aca="false">IFERROR(INDEX(Journal!$C$4:$C$503,MATCH(135,$J$6:$J$505,0)),"")</f>
        <v/>
      </c>
      <c r="C140" s="13" t="str">
        <f aca="false">IFERROR(INDEX(Journal!$F$4:$F$503,MATCH(135,$J$6:$J$505,0)),"")</f>
        <v/>
      </c>
      <c r="D140" s="12" t="str">
        <f aca="false">IFERROR(INDEX(Journal!$G$4:$G$503,MATCH(135,$J$6:$J$505,0)),"")</f>
        <v/>
      </c>
      <c r="E140" s="32" t="str">
        <f aca="false">IFERROR(INDEX(Journal!$H$4:$H$503,MATCH(135,$J$6:$J$505,0)),"")</f>
        <v/>
      </c>
      <c r="F140" s="32" t="str">
        <f aca="false">IFERROR(INDEX(Journal!$I$4:$I$503,MATCH(135,$J$6:$J$505,0)),"")</f>
        <v/>
      </c>
      <c r="G140" s="33" t="str">
        <f aca="false">IF(A140="","",G139+N(E140)-N(F140))</f>
        <v/>
      </c>
      <c r="J140" s="34" t="n">
        <f aca="false">IF(Journal!$D138=$B$3,J139+1,J139)</f>
        <v>1</v>
      </c>
    </row>
    <row r="141" customFormat="false" ht="15" hidden="false" customHeight="false" outlineLevel="0" collapsed="false">
      <c r="A141" s="31" t="str">
        <f aca="false">IFERROR(INDEX(Journal!$B$4:$B$503,MATCH(136,$J$6:$J$505,0)),"")</f>
        <v/>
      </c>
      <c r="B141" s="13" t="str">
        <f aca="false">IFERROR(INDEX(Journal!$C$4:$C$503,MATCH(136,$J$6:$J$505,0)),"")</f>
        <v/>
      </c>
      <c r="C141" s="13" t="str">
        <f aca="false">IFERROR(INDEX(Journal!$F$4:$F$503,MATCH(136,$J$6:$J$505,0)),"")</f>
        <v/>
      </c>
      <c r="D141" s="12" t="str">
        <f aca="false">IFERROR(INDEX(Journal!$G$4:$G$503,MATCH(136,$J$6:$J$505,0)),"")</f>
        <v/>
      </c>
      <c r="E141" s="32" t="str">
        <f aca="false">IFERROR(INDEX(Journal!$H$4:$H$503,MATCH(136,$J$6:$J$505,0)),"")</f>
        <v/>
      </c>
      <c r="F141" s="32" t="str">
        <f aca="false">IFERROR(INDEX(Journal!$I$4:$I$503,MATCH(136,$J$6:$J$505,0)),"")</f>
        <v/>
      </c>
      <c r="G141" s="33" t="str">
        <f aca="false">IF(A141="","",G140+N(E141)-N(F141))</f>
        <v/>
      </c>
      <c r="J141" s="34" t="n">
        <f aca="false">IF(Journal!$D139=$B$3,J140+1,J140)</f>
        <v>1</v>
      </c>
    </row>
    <row r="142" customFormat="false" ht="15" hidden="false" customHeight="false" outlineLevel="0" collapsed="false">
      <c r="A142" s="31" t="str">
        <f aca="false">IFERROR(INDEX(Journal!$B$4:$B$503,MATCH(137,$J$6:$J$505,0)),"")</f>
        <v/>
      </c>
      <c r="B142" s="13" t="str">
        <f aca="false">IFERROR(INDEX(Journal!$C$4:$C$503,MATCH(137,$J$6:$J$505,0)),"")</f>
        <v/>
      </c>
      <c r="C142" s="13" t="str">
        <f aca="false">IFERROR(INDEX(Journal!$F$4:$F$503,MATCH(137,$J$6:$J$505,0)),"")</f>
        <v/>
      </c>
      <c r="D142" s="12" t="str">
        <f aca="false">IFERROR(INDEX(Journal!$G$4:$G$503,MATCH(137,$J$6:$J$505,0)),"")</f>
        <v/>
      </c>
      <c r="E142" s="32" t="str">
        <f aca="false">IFERROR(INDEX(Journal!$H$4:$H$503,MATCH(137,$J$6:$J$505,0)),"")</f>
        <v/>
      </c>
      <c r="F142" s="32" t="str">
        <f aca="false">IFERROR(INDEX(Journal!$I$4:$I$503,MATCH(137,$J$6:$J$505,0)),"")</f>
        <v/>
      </c>
      <c r="G142" s="33" t="str">
        <f aca="false">IF(A142="","",G141+N(E142)-N(F142))</f>
        <v/>
      </c>
      <c r="J142" s="34" t="n">
        <f aca="false">IF(Journal!$D140=$B$3,J141+1,J141)</f>
        <v>1</v>
      </c>
    </row>
    <row r="143" customFormat="false" ht="15" hidden="false" customHeight="false" outlineLevel="0" collapsed="false">
      <c r="A143" s="31" t="str">
        <f aca="false">IFERROR(INDEX(Journal!$B$4:$B$503,MATCH(138,$J$6:$J$505,0)),"")</f>
        <v/>
      </c>
      <c r="B143" s="13" t="str">
        <f aca="false">IFERROR(INDEX(Journal!$C$4:$C$503,MATCH(138,$J$6:$J$505,0)),"")</f>
        <v/>
      </c>
      <c r="C143" s="13" t="str">
        <f aca="false">IFERROR(INDEX(Journal!$F$4:$F$503,MATCH(138,$J$6:$J$505,0)),"")</f>
        <v/>
      </c>
      <c r="D143" s="12" t="str">
        <f aca="false">IFERROR(INDEX(Journal!$G$4:$G$503,MATCH(138,$J$6:$J$505,0)),"")</f>
        <v/>
      </c>
      <c r="E143" s="32" t="str">
        <f aca="false">IFERROR(INDEX(Journal!$H$4:$H$503,MATCH(138,$J$6:$J$505,0)),"")</f>
        <v/>
      </c>
      <c r="F143" s="32" t="str">
        <f aca="false">IFERROR(INDEX(Journal!$I$4:$I$503,MATCH(138,$J$6:$J$505,0)),"")</f>
        <v/>
      </c>
      <c r="G143" s="33" t="str">
        <f aca="false">IF(A143="","",G142+N(E143)-N(F143))</f>
        <v/>
      </c>
      <c r="J143" s="34" t="n">
        <f aca="false">IF(Journal!$D141=$B$3,J142+1,J142)</f>
        <v>1</v>
      </c>
    </row>
    <row r="144" customFormat="false" ht="15" hidden="false" customHeight="false" outlineLevel="0" collapsed="false">
      <c r="A144" s="31" t="str">
        <f aca="false">IFERROR(INDEX(Journal!$B$4:$B$503,MATCH(139,$J$6:$J$505,0)),"")</f>
        <v/>
      </c>
      <c r="B144" s="13" t="str">
        <f aca="false">IFERROR(INDEX(Journal!$C$4:$C$503,MATCH(139,$J$6:$J$505,0)),"")</f>
        <v/>
      </c>
      <c r="C144" s="13" t="str">
        <f aca="false">IFERROR(INDEX(Journal!$F$4:$F$503,MATCH(139,$J$6:$J$505,0)),"")</f>
        <v/>
      </c>
      <c r="D144" s="12" t="str">
        <f aca="false">IFERROR(INDEX(Journal!$G$4:$G$503,MATCH(139,$J$6:$J$505,0)),"")</f>
        <v/>
      </c>
      <c r="E144" s="32" t="str">
        <f aca="false">IFERROR(INDEX(Journal!$H$4:$H$503,MATCH(139,$J$6:$J$505,0)),"")</f>
        <v/>
      </c>
      <c r="F144" s="32" t="str">
        <f aca="false">IFERROR(INDEX(Journal!$I$4:$I$503,MATCH(139,$J$6:$J$505,0)),"")</f>
        <v/>
      </c>
      <c r="G144" s="33" t="str">
        <f aca="false">IF(A144="","",G143+N(E144)-N(F144))</f>
        <v/>
      </c>
      <c r="J144" s="34" t="n">
        <f aca="false">IF(Journal!$D142=$B$3,J143+1,J143)</f>
        <v>1</v>
      </c>
    </row>
    <row r="145" customFormat="false" ht="15" hidden="false" customHeight="false" outlineLevel="0" collapsed="false">
      <c r="A145" s="31" t="str">
        <f aca="false">IFERROR(INDEX(Journal!$B$4:$B$503,MATCH(140,$J$6:$J$505,0)),"")</f>
        <v/>
      </c>
      <c r="B145" s="13" t="str">
        <f aca="false">IFERROR(INDEX(Journal!$C$4:$C$503,MATCH(140,$J$6:$J$505,0)),"")</f>
        <v/>
      </c>
      <c r="C145" s="13" t="str">
        <f aca="false">IFERROR(INDEX(Journal!$F$4:$F$503,MATCH(140,$J$6:$J$505,0)),"")</f>
        <v/>
      </c>
      <c r="D145" s="12" t="str">
        <f aca="false">IFERROR(INDEX(Journal!$G$4:$G$503,MATCH(140,$J$6:$J$505,0)),"")</f>
        <v/>
      </c>
      <c r="E145" s="32" t="str">
        <f aca="false">IFERROR(INDEX(Journal!$H$4:$H$503,MATCH(140,$J$6:$J$505,0)),"")</f>
        <v/>
      </c>
      <c r="F145" s="32" t="str">
        <f aca="false">IFERROR(INDEX(Journal!$I$4:$I$503,MATCH(140,$J$6:$J$505,0)),"")</f>
        <v/>
      </c>
      <c r="G145" s="33" t="str">
        <f aca="false">IF(A145="","",G144+N(E145)-N(F145))</f>
        <v/>
      </c>
      <c r="J145" s="34" t="n">
        <f aca="false">IF(Journal!$D143=$B$3,J144+1,J144)</f>
        <v>1</v>
      </c>
    </row>
    <row r="146" customFormat="false" ht="15" hidden="false" customHeight="false" outlineLevel="0" collapsed="false">
      <c r="A146" s="31" t="str">
        <f aca="false">IFERROR(INDEX(Journal!$B$4:$B$503,MATCH(141,$J$6:$J$505,0)),"")</f>
        <v/>
      </c>
      <c r="B146" s="13" t="str">
        <f aca="false">IFERROR(INDEX(Journal!$C$4:$C$503,MATCH(141,$J$6:$J$505,0)),"")</f>
        <v/>
      </c>
      <c r="C146" s="13" t="str">
        <f aca="false">IFERROR(INDEX(Journal!$F$4:$F$503,MATCH(141,$J$6:$J$505,0)),"")</f>
        <v/>
      </c>
      <c r="D146" s="12" t="str">
        <f aca="false">IFERROR(INDEX(Journal!$G$4:$G$503,MATCH(141,$J$6:$J$505,0)),"")</f>
        <v/>
      </c>
      <c r="E146" s="32" t="str">
        <f aca="false">IFERROR(INDEX(Journal!$H$4:$H$503,MATCH(141,$J$6:$J$505,0)),"")</f>
        <v/>
      </c>
      <c r="F146" s="32" t="str">
        <f aca="false">IFERROR(INDEX(Journal!$I$4:$I$503,MATCH(141,$J$6:$J$505,0)),"")</f>
        <v/>
      </c>
      <c r="G146" s="33" t="str">
        <f aca="false">IF(A146="","",G145+N(E146)-N(F146))</f>
        <v/>
      </c>
      <c r="J146" s="34" t="n">
        <f aca="false">IF(Journal!$D144=$B$3,J145+1,J145)</f>
        <v>1</v>
      </c>
    </row>
    <row r="147" customFormat="false" ht="15" hidden="false" customHeight="false" outlineLevel="0" collapsed="false">
      <c r="A147" s="31" t="str">
        <f aca="false">IFERROR(INDEX(Journal!$B$4:$B$503,MATCH(142,$J$6:$J$505,0)),"")</f>
        <v/>
      </c>
      <c r="B147" s="13" t="str">
        <f aca="false">IFERROR(INDEX(Journal!$C$4:$C$503,MATCH(142,$J$6:$J$505,0)),"")</f>
        <v/>
      </c>
      <c r="C147" s="13" t="str">
        <f aca="false">IFERROR(INDEX(Journal!$F$4:$F$503,MATCH(142,$J$6:$J$505,0)),"")</f>
        <v/>
      </c>
      <c r="D147" s="12" t="str">
        <f aca="false">IFERROR(INDEX(Journal!$G$4:$G$503,MATCH(142,$J$6:$J$505,0)),"")</f>
        <v/>
      </c>
      <c r="E147" s="32" t="str">
        <f aca="false">IFERROR(INDEX(Journal!$H$4:$H$503,MATCH(142,$J$6:$J$505,0)),"")</f>
        <v/>
      </c>
      <c r="F147" s="32" t="str">
        <f aca="false">IFERROR(INDEX(Journal!$I$4:$I$503,MATCH(142,$J$6:$J$505,0)),"")</f>
        <v/>
      </c>
      <c r="G147" s="33" t="str">
        <f aca="false">IF(A147="","",G146+N(E147)-N(F147))</f>
        <v/>
      </c>
      <c r="J147" s="34" t="n">
        <f aca="false">IF(Journal!$D145=$B$3,J146+1,J146)</f>
        <v>1</v>
      </c>
    </row>
    <row r="148" customFormat="false" ht="15" hidden="false" customHeight="false" outlineLevel="0" collapsed="false">
      <c r="A148" s="31" t="str">
        <f aca="false">IFERROR(INDEX(Journal!$B$4:$B$503,MATCH(143,$J$6:$J$505,0)),"")</f>
        <v/>
      </c>
      <c r="B148" s="13" t="str">
        <f aca="false">IFERROR(INDEX(Journal!$C$4:$C$503,MATCH(143,$J$6:$J$505,0)),"")</f>
        <v/>
      </c>
      <c r="C148" s="13" t="str">
        <f aca="false">IFERROR(INDEX(Journal!$F$4:$F$503,MATCH(143,$J$6:$J$505,0)),"")</f>
        <v/>
      </c>
      <c r="D148" s="12" t="str">
        <f aca="false">IFERROR(INDEX(Journal!$G$4:$G$503,MATCH(143,$J$6:$J$505,0)),"")</f>
        <v/>
      </c>
      <c r="E148" s="32" t="str">
        <f aca="false">IFERROR(INDEX(Journal!$H$4:$H$503,MATCH(143,$J$6:$J$505,0)),"")</f>
        <v/>
      </c>
      <c r="F148" s="32" t="str">
        <f aca="false">IFERROR(INDEX(Journal!$I$4:$I$503,MATCH(143,$J$6:$J$505,0)),"")</f>
        <v/>
      </c>
      <c r="G148" s="33" t="str">
        <f aca="false">IF(A148="","",G147+N(E148)-N(F148))</f>
        <v/>
      </c>
      <c r="J148" s="34" t="n">
        <f aca="false">IF(Journal!$D146=$B$3,J147+1,J147)</f>
        <v>1</v>
      </c>
    </row>
    <row r="149" customFormat="false" ht="15" hidden="false" customHeight="false" outlineLevel="0" collapsed="false">
      <c r="A149" s="31" t="str">
        <f aca="false">IFERROR(INDEX(Journal!$B$4:$B$503,MATCH(144,$J$6:$J$505,0)),"")</f>
        <v/>
      </c>
      <c r="B149" s="13" t="str">
        <f aca="false">IFERROR(INDEX(Journal!$C$4:$C$503,MATCH(144,$J$6:$J$505,0)),"")</f>
        <v/>
      </c>
      <c r="C149" s="13" t="str">
        <f aca="false">IFERROR(INDEX(Journal!$F$4:$F$503,MATCH(144,$J$6:$J$505,0)),"")</f>
        <v/>
      </c>
      <c r="D149" s="12" t="str">
        <f aca="false">IFERROR(INDEX(Journal!$G$4:$G$503,MATCH(144,$J$6:$J$505,0)),"")</f>
        <v/>
      </c>
      <c r="E149" s="32" t="str">
        <f aca="false">IFERROR(INDEX(Journal!$H$4:$H$503,MATCH(144,$J$6:$J$505,0)),"")</f>
        <v/>
      </c>
      <c r="F149" s="32" t="str">
        <f aca="false">IFERROR(INDEX(Journal!$I$4:$I$503,MATCH(144,$J$6:$J$505,0)),"")</f>
        <v/>
      </c>
      <c r="G149" s="33" t="str">
        <f aca="false">IF(A149="","",G148+N(E149)-N(F149))</f>
        <v/>
      </c>
      <c r="J149" s="34" t="n">
        <f aca="false">IF(Journal!$D147=$B$3,J148+1,J148)</f>
        <v>1</v>
      </c>
    </row>
    <row r="150" customFormat="false" ht="15" hidden="false" customHeight="false" outlineLevel="0" collapsed="false">
      <c r="A150" s="31" t="str">
        <f aca="false">IFERROR(INDEX(Journal!$B$4:$B$503,MATCH(145,$J$6:$J$505,0)),"")</f>
        <v/>
      </c>
      <c r="B150" s="13" t="str">
        <f aca="false">IFERROR(INDEX(Journal!$C$4:$C$503,MATCH(145,$J$6:$J$505,0)),"")</f>
        <v/>
      </c>
      <c r="C150" s="13" t="str">
        <f aca="false">IFERROR(INDEX(Journal!$F$4:$F$503,MATCH(145,$J$6:$J$505,0)),"")</f>
        <v/>
      </c>
      <c r="D150" s="12" t="str">
        <f aca="false">IFERROR(INDEX(Journal!$G$4:$G$503,MATCH(145,$J$6:$J$505,0)),"")</f>
        <v/>
      </c>
      <c r="E150" s="32" t="str">
        <f aca="false">IFERROR(INDEX(Journal!$H$4:$H$503,MATCH(145,$J$6:$J$505,0)),"")</f>
        <v/>
      </c>
      <c r="F150" s="32" t="str">
        <f aca="false">IFERROR(INDEX(Journal!$I$4:$I$503,MATCH(145,$J$6:$J$505,0)),"")</f>
        <v/>
      </c>
      <c r="G150" s="33" t="str">
        <f aca="false">IF(A150="","",G149+N(E150)-N(F150))</f>
        <v/>
      </c>
      <c r="J150" s="34" t="n">
        <f aca="false">IF(Journal!$D148=$B$3,J149+1,J149)</f>
        <v>1</v>
      </c>
    </row>
    <row r="151" customFormat="false" ht="15" hidden="false" customHeight="false" outlineLevel="0" collapsed="false">
      <c r="A151" s="31" t="str">
        <f aca="false">IFERROR(INDEX(Journal!$B$4:$B$503,MATCH(146,$J$6:$J$505,0)),"")</f>
        <v/>
      </c>
      <c r="B151" s="13" t="str">
        <f aca="false">IFERROR(INDEX(Journal!$C$4:$C$503,MATCH(146,$J$6:$J$505,0)),"")</f>
        <v/>
      </c>
      <c r="C151" s="13" t="str">
        <f aca="false">IFERROR(INDEX(Journal!$F$4:$F$503,MATCH(146,$J$6:$J$505,0)),"")</f>
        <v/>
      </c>
      <c r="D151" s="12" t="str">
        <f aca="false">IFERROR(INDEX(Journal!$G$4:$G$503,MATCH(146,$J$6:$J$505,0)),"")</f>
        <v/>
      </c>
      <c r="E151" s="32" t="str">
        <f aca="false">IFERROR(INDEX(Journal!$H$4:$H$503,MATCH(146,$J$6:$J$505,0)),"")</f>
        <v/>
      </c>
      <c r="F151" s="32" t="str">
        <f aca="false">IFERROR(INDEX(Journal!$I$4:$I$503,MATCH(146,$J$6:$J$505,0)),"")</f>
        <v/>
      </c>
      <c r="G151" s="33" t="str">
        <f aca="false">IF(A151="","",G150+N(E151)-N(F151))</f>
        <v/>
      </c>
      <c r="J151" s="34" t="n">
        <f aca="false">IF(Journal!$D149=$B$3,J150+1,J150)</f>
        <v>1</v>
      </c>
    </row>
    <row r="152" customFormat="false" ht="15" hidden="false" customHeight="false" outlineLevel="0" collapsed="false">
      <c r="A152" s="31" t="str">
        <f aca="false">IFERROR(INDEX(Journal!$B$4:$B$503,MATCH(147,$J$6:$J$505,0)),"")</f>
        <v/>
      </c>
      <c r="B152" s="13" t="str">
        <f aca="false">IFERROR(INDEX(Journal!$C$4:$C$503,MATCH(147,$J$6:$J$505,0)),"")</f>
        <v/>
      </c>
      <c r="C152" s="13" t="str">
        <f aca="false">IFERROR(INDEX(Journal!$F$4:$F$503,MATCH(147,$J$6:$J$505,0)),"")</f>
        <v/>
      </c>
      <c r="D152" s="12" t="str">
        <f aca="false">IFERROR(INDEX(Journal!$G$4:$G$503,MATCH(147,$J$6:$J$505,0)),"")</f>
        <v/>
      </c>
      <c r="E152" s="32" t="str">
        <f aca="false">IFERROR(INDEX(Journal!$H$4:$H$503,MATCH(147,$J$6:$J$505,0)),"")</f>
        <v/>
      </c>
      <c r="F152" s="32" t="str">
        <f aca="false">IFERROR(INDEX(Journal!$I$4:$I$503,MATCH(147,$J$6:$J$505,0)),"")</f>
        <v/>
      </c>
      <c r="G152" s="33" t="str">
        <f aca="false">IF(A152="","",G151+N(E152)-N(F152))</f>
        <v/>
      </c>
      <c r="J152" s="34" t="n">
        <f aca="false">IF(Journal!$D150=$B$3,J151+1,J151)</f>
        <v>1</v>
      </c>
    </row>
    <row r="153" customFormat="false" ht="15" hidden="false" customHeight="false" outlineLevel="0" collapsed="false">
      <c r="A153" s="31" t="str">
        <f aca="false">IFERROR(INDEX(Journal!$B$4:$B$503,MATCH(148,$J$6:$J$505,0)),"")</f>
        <v/>
      </c>
      <c r="B153" s="13" t="str">
        <f aca="false">IFERROR(INDEX(Journal!$C$4:$C$503,MATCH(148,$J$6:$J$505,0)),"")</f>
        <v/>
      </c>
      <c r="C153" s="13" t="str">
        <f aca="false">IFERROR(INDEX(Journal!$F$4:$F$503,MATCH(148,$J$6:$J$505,0)),"")</f>
        <v/>
      </c>
      <c r="D153" s="12" t="str">
        <f aca="false">IFERROR(INDEX(Journal!$G$4:$G$503,MATCH(148,$J$6:$J$505,0)),"")</f>
        <v/>
      </c>
      <c r="E153" s="32" t="str">
        <f aca="false">IFERROR(INDEX(Journal!$H$4:$H$503,MATCH(148,$J$6:$J$505,0)),"")</f>
        <v/>
      </c>
      <c r="F153" s="32" t="str">
        <f aca="false">IFERROR(INDEX(Journal!$I$4:$I$503,MATCH(148,$J$6:$J$505,0)),"")</f>
        <v/>
      </c>
      <c r="G153" s="33" t="str">
        <f aca="false">IF(A153="","",G152+N(E153)-N(F153))</f>
        <v/>
      </c>
      <c r="J153" s="34" t="n">
        <f aca="false">IF(Journal!$D151=$B$3,J152+1,J152)</f>
        <v>1</v>
      </c>
    </row>
    <row r="154" customFormat="false" ht="15" hidden="false" customHeight="false" outlineLevel="0" collapsed="false">
      <c r="A154" s="31" t="str">
        <f aca="false">IFERROR(INDEX(Journal!$B$4:$B$503,MATCH(149,$J$6:$J$505,0)),"")</f>
        <v/>
      </c>
      <c r="B154" s="13" t="str">
        <f aca="false">IFERROR(INDEX(Journal!$C$4:$C$503,MATCH(149,$J$6:$J$505,0)),"")</f>
        <v/>
      </c>
      <c r="C154" s="13" t="str">
        <f aca="false">IFERROR(INDEX(Journal!$F$4:$F$503,MATCH(149,$J$6:$J$505,0)),"")</f>
        <v/>
      </c>
      <c r="D154" s="12" t="str">
        <f aca="false">IFERROR(INDEX(Journal!$G$4:$G$503,MATCH(149,$J$6:$J$505,0)),"")</f>
        <v/>
      </c>
      <c r="E154" s="32" t="str">
        <f aca="false">IFERROR(INDEX(Journal!$H$4:$H$503,MATCH(149,$J$6:$J$505,0)),"")</f>
        <v/>
      </c>
      <c r="F154" s="32" t="str">
        <f aca="false">IFERROR(INDEX(Journal!$I$4:$I$503,MATCH(149,$J$6:$J$505,0)),"")</f>
        <v/>
      </c>
      <c r="G154" s="33" t="str">
        <f aca="false">IF(A154="","",G153+N(E154)-N(F154))</f>
        <v/>
      </c>
      <c r="J154" s="34" t="n">
        <f aca="false">IF(Journal!$D152=$B$3,J153+1,J153)</f>
        <v>1</v>
      </c>
    </row>
    <row r="155" customFormat="false" ht="15" hidden="false" customHeight="false" outlineLevel="0" collapsed="false">
      <c r="A155" s="31" t="str">
        <f aca="false">IFERROR(INDEX(Journal!$B$4:$B$503,MATCH(150,$J$6:$J$505,0)),"")</f>
        <v/>
      </c>
      <c r="B155" s="13" t="str">
        <f aca="false">IFERROR(INDEX(Journal!$C$4:$C$503,MATCH(150,$J$6:$J$505,0)),"")</f>
        <v/>
      </c>
      <c r="C155" s="13" t="str">
        <f aca="false">IFERROR(INDEX(Journal!$F$4:$F$503,MATCH(150,$J$6:$J$505,0)),"")</f>
        <v/>
      </c>
      <c r="D155" s="12" t="str">
        <f aca="false">IFERROR(INDEX(Journal!$G$4:$G$503,MATCH(150,$J$6:$J$505,0)),"")</f>
        <v/>
      </c>
      <c r="E155" s="32" t="str">
        <f aca="false">IFERROR(INDEX(Journal!$H$4:$H$503,MATCH(150,$J$6:$J$505,0)),"")</f>
        <v/>
      </c>
      <c r="F155" s="32" t="str">
        <f aca="false">IFERROR(INDEX(Journal!$I$4:$I$503,MATCH(150,$J$6:$J$505,0)),"")</f>
        <v/>
      </c>
      <c r="G155" s="33" t="str">
        <f aca="false">IF(A155="","",G154+N(E155)-N(F155))</f>
        <v/>
      </c>
      <c r="J155" s="34" t="n">
        <f aca="false">IF(Journal!$D153=$B$3,J154+1,J154)</f>
        <v>1</v>
      </c>
    </row>
    <row r="156" customFormat="false" ht="15" hidden="false" customHeight="false" outlineLevel="0" collapsed="false">
      <c r="C156" s="24" t="s">
        <v>252</v>
      </c>
      <c r="D156" s="24"/>
      <c r="E156" s="25" t="n">
        <f aca="false">SUM(E6:E155)</f>
        <v>119000</v>
      </c>
      <c r="F156" s="25" t="n">
        <f aca="false">SUM(F6:F155)</f>
        <v>0</v>
      </c>
      <c r="G156" s="25" t="n">
        <f aca="false">E156-F156</f>
        <v>119000</v>
      </c>
      <c r="J156" s="34" t="n">
        <f aca="false">IF(Journal!$D154=$B$3,J155+1,J155)</f>
        <v>1</v>
      </c>
    </row>
    <row r="157" customFormat="false" ht="15" hidden="false" customHeight="false" outlineLevel="0" collapsed="false">
      <c r="C157" s="34" t="s">
        <v>253</v>
      </c>
      <c r="J157" s="34" t="n">
        <f aca="false">IF(Journal!$D155=$B$3,J156+1,J156)</f>
        <v>1</v>
      </c>
    </row>
    <row r="158" customFormat="false" ht="15" hidden="false" customHeight="false" outlineLevel="0" collapsed="false">
      <c r="J158" s="34" t="n">
        <f aca="false">IF(Journal!$D156=$B$3,J157+1,J157)</f>
        <v>1</v>
      </c>
    </row>
    <row r="159" customFormat="false" ht="15" hidden="false" customHeight="false" outlineLevel="0" collapsed="false">
      <c r="J159" s="34" t="n">
        <f aca="false">IF(Journal!$D157=$B$3,J158+1,J158)</f>
        <v>1</v>
      </c>
    </row>
    <row r="160" customFormat="false" ht="15" hidden="false" customHeight="false" outlineLevel="0" collapsed="false">
      <c r="J160" s="34" t="n">
        <f aca="false">IF(Journal!$D158=$B$3,J159+1,J159)</f>
        <v>1</v>
      </c>
    </row>
    <row r="161" customFormat="false" ht="15" hidden="false" customHeight="false" outlineLevel="0" collapsed="false">
      <c r="J161" s="34" t="n">
        <f aca="false">IF(Journal!$D159=$B$3,J160+1,J160)</f>
        <v>1</v>
      </c>
    </row>
    <row r="162" customFormat="false" ht="15" hidden="false" customHeight="false" outlineLevel="0" collapsed="false">
      <c r="J162" s="34" t="n">
        <f aca="false">IF(Journal!$D160=$B$3,J161+1,J161)</f>
        <v>1</v>
      </c>
    </row>
    <row r="163" customFormat="false" ht="15" hidden="false" customHeight="false" outlineLevel="0" collapsed="false">
      <c r="J163" s="34" t="n">
        <f aca="false">IF(Journal!$D161=$B$3,J162+1,J162)</f>
        <v>1</v>
      </c>
    </row>
    <row r="164" customFormat="false" ht="15" hidden="false" customHeight="false" outlineLevel="0" collapsed="false">
      <c r="J164" s="34" t="n">
        <f aca="false">IF(Journal!$D162=$B$3,J163+1,J163)</f>
        <v>1</v>
      </c>
    </row>
    <row r="165" customFormat="false" ht="15" hidden="false" customHeight="false" outlineLevel="0" collapsed="false">
      <c r="J165" s="34" t="n">
        <f aca="false">IF(Journal!$D163=$B$3,J164+1,J164)</f>
        <v>1</v>
      </c>
    </row>
    <row r="166" customFormat="false" ht="15" hidden="false" customHeight="false" outlineLevel="0" collapsed="false">
      <c r="J166" s="34" t="n">
        <f aca="false">IF(Journal!$D164=$B$3,J165+1,J165)</f>
        <v>1</v>
      </c>
    </row>
    <row r="167" customFormat="false" ht="15" hidden="false" customHeight="false" outlineLevel="0" collapsed="false">
      <c r="J167" s="34" t="n">
        <f aca="false">IF(Journal!$D165=$B$3,J166+1,J166)</f>
        <v>1</v>
      </c>
    </row>
    <row r="168" customFormat="false" ht="15" hidden="false" customHeight="false" outlineLevel="0" collapsed="false">
      <c r="J168" s="34" t="n">
        <f aca="false">IF(Journal!$D166=$B$3,J167+1,J167)</f>
        <v>1</v>
      </c>
    </row>
    <row r="169" customFormat="false" ht="15" hidden="false" customHeight="false" outlineLevel="0" collapsed="false">
      <c r="J169" s="34" t="n">
        <f aca="false">IF(Journal!$D167=$B$3,J168+1,J168)</f>
        <v>1</v>
      </c>
    </row>
    <row r="170" customFormat="false" ht="15" hidden="false" customHeight="false" outlineLevel="0" collapsed="false">
      <c r="J170" s="34" t="n">
        <f aca="false">IF(Journal!$D168=$B$3,J169+1,J169)</f>
        <v>1</v>
      </c>
    </row>
    <row r="171" customFormat="false" ht="15" hidden="false" customHeight="false" outlineLevel="0" collapsed="false">
      <c r="J171" s="34" t="n">
        <f aca="false">IF(Journal!$D169=$B$3,J170+1,J170)</f>
        <v>1</v>
      </c>
    </row>
    <row r="172" customFormat="false" ht="15" hidden="false" customHeight="false" outlineLevel="0" collapsed="false">
      <c r="J172" s="34" t="n">
        <f aca="false">IF(Journal!$D170=$B$3,J171+1,J171)</f>
        <v>1</v>
      </c>
    </row>
    <row r="173" customFormat="false" ht="15" hidden="false" customHeight="false" outlineLevel="0" collapsed="false">
      <c r="J173" s="34" t="n">
        <f aca="false">IF(Journal!$D171=$B$3,J172+1,J172)</f>
        <v>1</v>
      </c>
    </row>
    <row r="174" customFormat="false" ht="15" hidden="false" customHeight="false" outlineLevel="0" collapsed="false">
      <c r="J174" s="34" t="n">
        <f aca="false">IF(Journal!$D172=$B$3,J173+1,J173)</f>
        <v>1</v>
      </c>
    </row>
    <row r="175" customFormat="false" ht="15" hidden="false" customHeight="false" outlineLevel="0" collapsed="false">
      <c r="J175" s="34" t="n">
        <f aca="false">IF(Journal!$D173=$B$3,J174+1,J174)</f>
        <v>1</v>
      </c>
    </row>
    <row r="176" customFormat="false" ht="15" hidden="false" customHeight="false" outlineLevel="0" collapsed="false">
      <c r="J176" s="34" t="n">
        <f aca="false">IF(Journal!$D174=$B$3,J175+1,J175)</f>
        <v>1</v>
      </c>
    </row>
    <row r="177" customFormat="false" ht="15" hidden="false" customHeight="false" outlineLevel="0" collapsed="false">
      <c r="J177" s="34" t="n">
        <f aca="false">IF(Journal!$D175=$B$3,J176+1,J176)</f>
        <v>1</v>
      </c>
    </row>
    <row r="178" customFormat="false" ht="15" hidden="false" customHeight="false" outlineLevel="0" collapsed="false">
      <c r="J178" s="34" t="n">
        <f aca="false">IF(Journal!$D176=$B$3,J177+1,J177)</f>
        <v>1</v>
      </c>
    </row>
    <row r="179" customFormat="false" ht="15" hidden="false" customHeight="false" outlineLevel="0" collapsed="false">
      <c r="J179" s="34" t="n">
        <f aca="false">IF(Journal!$D177=$B$3,J178+1,J178)</f>
        <v>1</v>
      </c>
    </row>
    <row r="180" customFormat="false" ht="15" hidden="false" customHeight="false" outlineLevel="0" collapsed="false">
      <c r="J180" s="34" t="n">
        <f aca="false">IF(Journal!$D178=$B$3,J179+1,J179)</f>
        <v>1</v>
      </c>
    </row>
    <row r="181" customFormat="false" ht="15" hidden="false" customHeight="false" outlineLevel="0" collapsed="false">
      <c r="J181" s="34" t="n">
        <f aca="false">IF(Journal!$D179=$B$3,J180+1,J180)</f>
        <v>1</v>
      </c>
    </row>
    <row r="182" customFormat="false" ht="15" hidden="false" customHeight="false" outlineLevel="0" collapsed="false">
      <c r="J182" s="34" t="n">
        <f aca="false">IF(Journal!$D180=$B$3,J181+1,J181)</f>
        <v>1</v>
      </c>
    </row>
    <row r="183" customFormat="false" ht="15" hidden="false" customHeight="false" outlineLevel="0" collapsed="false">
      <c r="J183" s="34" t="n">
        <f aca="false">IF(Journal!$D181=$B$3,J182+1,J182)</f>
        <v>1</v>
      </c>
    </row>
    <row r="184" customFormat="false" ht="15" hidden="false" customHeight="false" outlineLevel="0" collapsed="false">
      <c r="J184" s="34" t="n">
        <f aca="false">IF(Journal!$D182=$B$3,J183+1,J183)</f>
        <v>1</v>
      </c>
    </row>
    <row r="185" customFormat="false" ht="15" hidden="false" customHeight="false" outlineLevel="0" collapsed="false">
      <c r="J185" s="34" t="n">
        <f aca="false">IF(Journal!$D183=$B$3,J184+1,J184)</f>
        <v>1</v>
      </c>
    </row>
    <row r="186" customFormat="false" ht="15" hidden="false" customHeight="false" outlineLevel="0" collapsed="false">
      <c r="J186" s="34" t="n">
        <f aca="false">IF(Journal!$D184=$B$3,J185+1,J185)</f>
        <v>1</v>
      </c>
    </row>
    <row r="187" customFormat="false" ht="15" hidden="false" customHeight="false" outlineLevel="0" collapsed="false">
      <c r="J187" s="34" t="n">
        <f aca="false">IF(Journal!$D185=$B$3,J186+1,J186)</f>
        <v>1</v>
      </c>
    </row>
    <row r="188" customFormat="false" ht="15" hidden="false" customHeight="false" outlineLevel="0" collapsed="false">
      <c r="J188" s="34" t="n">
        <f aca="false">IF(Journal!$D186=$B$3,J187+1,J187)</f>
        <v>1</v>
      </c>
    </row>
    <row r="189" customFormat="false" ht="15" hidden="false" customHeight="false" outlineLevel="0" collapsed="false">
      <c r="J189" s="34" t="n">
        <f aca="false">IF(Journal!$D187=$B$3,J188+1,J188)</f>
        <v>1</v>
      </c>
    </row>
    <row r="190" customFormat="false" ht="15" hidden="false" customHeight="false" outlineLevel="0" collapsed="false">
      <c r="J190" s="34" t="n">
        <f aca="false">IF(Journal!$D188=$B$3,J189+1,J189)</f>
        <v>1</v>
      </c>
    </row>
    <row r="191" customFormat="false" ht="15" hidden="false" customHeight="false" outlineLevel="0" collapsed="false">
      <c r="J191" s="34" t="n">
        <f aca="false">IF(Journal!$D189=$B$3,J190+1,J190)</f>
        <v>1</v>
      </c>
    </row>
    <row r="192" customFormat="false" ht="15" hidden="false" customHeight="false" outlineLevel="0" collapsed="false">
      <c r="J192" s="34" t="n">
        <f aca="false">IF(Journal!$D190=$B$3,J191+1,J191)</f>
        <v>1</v>
      </c>
    </row>
    <row r="193" customFormat="false" ht="15" hidden="false" customHeight="false" outlineLevel="0" collapsed="false">
      <c r="J193" s="34" t="n">
        <f aca="false">IF(Journal!$D191=$B$3,J192+1,J192)</f>
        <v>1</v>
      </c>
    </row>
    <row r="194" customFormat="false" ht="15" hidden="false" customHeight="false" outlineLevel="0" collapsed="false">
      <c r="J194" s="34" t="n">
        <f aca="false">IF(Journal!$D192=$B$3,J193+1,J193)</f>
        <v>1</v>
      </c>
    </row>
    <row r="195" customFormat="false" ht="15" hidden="false" customHeight="false" outlineLevel="0" collapsed="false">
      <c r="J195" s="34" t="n">
        <f aca="false">IF(Journal!$D193=$B$3,J194+1,J194)</f>
        <v>1</v>
      </c>
    </row>
    <row r="196" customFormat="false" ht="15" hidden="false" customHeight="false" outlineLevel="0" collapsed="false">
      <c r="J196" s="34" t="n">
        <f aca="false">IF(Journal!$D194=$B$3,J195+1,J195)</f>
        <v>1</v>
      </c>
    </row>
    <row r="197" customFormat="false" ht="15" hidden="false" customHeight="false" outlineLevel="0" collapsed="false">
      <c r="J197" s="34" t="n">
        <f aca="false">IF(Journal!$D195=$B$3,J196+1,J196)</f>
        <v>1</v>
      </c>
    </row>
    <row r="198" customFormat="false" ht="15" hidden="false" customHeight="false" outlineLevel="0" collapsed="false">
      <c r="J198" s="34" t="n">
        <f aca="false">IF(Journal!$D196=$B$3,J197+1,J197)</f>
        <v>1</v>
      </c>
    </row>
    <row r="199" customFormat="false" ht="15" hidden="false" customHeight="false" outlineLevel="0" collapsed="false">
      <c r="J199" s="34" t="n">
        <f aca="false">IF(Journal!$D197=$B$3,J198+1,J198)</f>
        <v>1</v>
      </c>
    </row>
    <row r="200" customFormat="false" ht="15" hidden="false" customHeight="false" outlineLevel="0" collapsed="false">
      <c r="J200" s="34" t="n">
        <f aca="false">IF(Journal!$D198=$B$3,J199+1,J199)</f>
        <v>1</v>
      </c>
    </row>
    <row r="201" customFormat="false" ht="15" hidden="false" customHeight="false" outlineLevel="0" collapsed="false">
      <c r="J201" s="34" t="n">
        <f aca="false">IF(Journal!$D199=$B$3,J200+1,J200)</f>
        <v>1</v>
      </c>
    </row>
    <row r="202" customFormat="false" ht="15" hidden="false" customHeight="false" outlineLevel="0" collapsed="false">
      <c r="J202" s="34" t="n">
        <f aca="false">IF(Journal!$D200=$B$3,J201+1,J201)</f>
        <v>1</v>
      </c>
    </row>
    <row r="203" customFormat="false" ht="15" hidden="false" customHeight="false" outlineLevel="0" collapsed="false">
      <c r="J203" s="34" t="n">
        <f aca="false">IF(Journal!$D201=$B$3,J202+1,J202)</f>
        <v>1</v>
      </c>
    </row>
    <row r="204" customFormat="false" ht="15" hidden="false" customHeight="false" outlineLevel="0" collapsed="false">
      <c r="J204" s="34" t="n">
        <f aca="false">IF(Journal!$D202=$B$3,J203+1,J203)</f>
        <v>1</v>
      </c>
    </row>
    <row r="205" customFormat="false" ht="15" hidden="false" customHeight="false" outlineLevel="0" collapsed="false">
      <c r="J205" s="34" t="n">
        <f aca="false">IF(Journal!$D203=$B$3,J204+1,J204)</f>
        <v>1</v>
      </c>
    </row>
    <row r="206" customFormat="false" ht="15" hidden="false" customHeight="false" outlineLevel="0" collapsed="false">
      <c r="J206" s="34" t="n">
        <f aca="false">IF(Journal!$D204=$B$3,J205+1,J205)</f>
        <v>1</v>
      </c>
    </row>
    <row r="207" customFormat="false" ht="15" hidden="false" customHeight="false" outlineLevel="0" collapsed="false">
      <c r="J207" s="34" t="n">
        <f aca="false">IF(Journal!$D205=$B$3,J206+1,J206)</f>
        <v>1</v>
      </c>
    </row>
    <row r="208" customFormat="false" ht="15" hidden="false" customHeight="false" outlineLevel="0" collapsed="false">
      <c r="J208" s="34" t="n">
        <f aca="false">IF(Journal!$D206=$B$3,J207+1,J207)</f>
        <v>1</v>
      </c>
    </row>
    <row r="209" customFormat="false" ht="15" hidden="false" customHeight="false" outlineLevel="0" collapsed="false">
      <c r="J209" s="34" t="n">
        <f aca="false">IF(Journal!$D207=$B$3,J208+1,J208)</f>
        <v>1</v>
      </c>
    </row>
    <row r="210" customFormat="false" ht="15" hidden="false" customHeight="false" outlineLevel="0" collapsed="false">
      <c r="J210" s="34" t="n">
        <f aca="false">IF(Journal!$D208=$B$3,J209+1,J209)</f>
        <v>1</v>
      </c>
    </row>
    <row r="211" customFormat="false" ht="15" hidden="false" customHeight="false" outlineLevel="0" collapsed="false">
      <c r="J211" s="34" t="n">
        <f aca="false">IF(Journal!$D209=$B$3,J210+1,J210)</f>
        <v>1</v>
      </c>
    </row>
    <row r="212" customFormat="false" ht="15" hidden="false" customHeight="false" outlineLevel="0" collapsed="false">
      <c r="J212" s="34" t="n">
        <f aca="false">IF(Journal!$D210=$B$3,J211+1,J211)</f>
        <v>1</v>
      </c>
    </row>
    <row r="213" customFormat="false" ht="15" hidden="false" customHeight="false" outlineLevel="0" collapsed="false">
      <c r="J213" s="34" t="n">
        <f aca="false">IF(Journal!$D211=$B$3,J212+1,J212)</f>
        <v>1</v>
      </c>
    </row>
    <row r="214" customFormat="false" ht="15" hidden="false" customHeight="false" outlineLevel="0" collapsed="false">
      <c r="J214" s="34" t="n">
        <f aca="false">IF(Journal!$D212=$B$3,J213+1,J213)</f>
        <v>1</v>
      </c>
    </row>
    <row r="215" customFormat="false" ht="15" hidden="false" customHeight="false" outlineLevel="0" collapsed="false">
      <c r="J215" s="34" t="n">
        <f aca="false">IF(Journal!$D213=$B$3,J214+1,J214)</f>
        <v>1</v>
      </c>
    </row>
    <row r="216" customFormat="false" ht="15" hidden="false" customHeight="false" outlineLevel="0" collapsed="false">
      <c r="J216" s="34" t="n">
        <f aca="false">IF(Journal!$D214=$B$3,J215+1,J215)</f>
        <v>1</v>
      </c>
    </row>
    <row r="217" customFormat="false" ht="15" hidden="false" customHeight="false" outlineLevel="0" collapsed="false">
      <c r="J217" s="34" t="n">
        <f aca="false">IF(Journal!$D215=$B$3,J216+1,J216)</f>
        <v>1</v>
      </c>
    </row>
    <row r="218" customFormat="false" ht="15" hidden="false" customHeight="false" outlineLevel="0" collapsed="false">
      <c r="J218" s="34" t="n">
        <f aca="false">IF(Journal!$D216=$B$3,J217+1,J217)</f>
        <v>1</v>
      </c>
    </row>
    <row r="219" customFormat="false" ht="15" hidden="false" customHeight="false" outlineLevel="0" collapsed="false">
      <c r="J219" s="34" t="n">
        <f aca="false">IF(Journal!$D217=$B$3,J218+1,J218)</f>
        <v>1</v>
      </c>
    </row>
    <row r="220" customFormat="false" ht="15" hidden="false" customHeight="false" outlineLevel="0" collapsed="false">
      <c r="J220" s="34" t="n">
        <f aca="false">IF(Journal!$D218=$B$3,J219+1,J219)</f>
        <v>1</v>
      </c>
    </row>
    <row r="221" customFormat="false" ht="15" hidden="false" customHeight="false" outlineLevel="0" collapsed="false">
      <c r="J221" s="34" t="n">
        <f aca="false">IF(Journal!$D219=$B$3,J220+1,J220)</f>
        <v>1</v>
      </c>
    </row>
    <row r="222" customFormat="false" ht="15" hidden="false" customHeight="false" outlineLevel="0" collapsed="false">
      <c r="J222" s="34" t="n">
        <f aca="false">IF(Journal!$D220=$B$3,J221+1,J221)</f>
        <v>1</v>
      </c>
    </row>
    <row r="223" customFormat="false" ht="15" hidden="false" customHeight="false" outlineLevel="0" collapsed="false">
      <c r="J223" s="34" t="n">
        <f aca="false">IF(Journal!$D221=$B$3,J222+1,J222)</f>
        <v>1</v>
      </c>
    </row>
    <row r="224" customFormat="false" ht="15" hidden="false" customHeight="false" outlineLevel="0" collapsed="false">
      <c r="J224" s="34" t="n">
        <f aca="false">IF(Journal!$D222=$B$3,J223+1,J223)</f>
        <v>1</v>
      </c>
    </row>
    <row r="225" customFormat="false" ht="15" hidden="false" customHeight="false" outlineLevel="0" collapsed="false">
      <c r="J225" s="34" t="n">
        <f aca="false">IF(Journal!$D223=$B$3,J224+1,J224)</f>
        <v>1</v>
      </c>
    </row>
    <row r="226" customFormat="false" ht="15" hidden="false" customHeight="false" outlineLevel="0" collapsed="false">
      <c r="J226" s="34" t="n">
        <f aca="false">IF(Journal!$D224=$B$3,J225+1,J225)</f>
        <v>1</v>
      </c>
    </row>
    <row r="227" customFormat="false" ht="15" hidden="false" customHeight="false" outlineLevel="0" collapsed="false">
      <c r="J227" s="34" t="n">
        <f aca="false">IF(Journal!$D225=$B$3,J226+1,J226)</f>
        <v>1</v>
      </c>
    </row>
    <row r="228" customFormat="false" ht="15" hidden="false" customHeight="false" outlineLevel="0" collapsed="false">
      <c r="J228" s="34" t="n">
        <f aca="false">IF(Journal!$D226=$B$3,J227+1,J227)</f>
        <v>1</v>
      </c>
    </row>
    <row r="229" customFormat="false" ht="15" hidden="false" customHeight="false" outlineLevel="0" collapsed="false">
      <c r="J229" s="34" t="n">
        <f aca="false">IF(Journal!$D227=$B$3,J228+1,J228)</f>
        <v>1</v>
      </c>
    </row>
    <row r="230" customFormat="false" ht="15" hidden="false" customHeight="false" outlineLevel="0" collapsed="false">
      <c r="J230" s="34" t="n">
        <f aca="false">IF(Journal!$D228=$B$3,J229+1,J229)</f>
        <v>1</v>
      </c>
    </row>
    <row r="231" customFormat="false" ht="15" hidden="false" customHeight="false" outlineLevel="0" collapsed="false">
      <c r="J231" s="34" t="n">
        <f aca="false">IF(Journal!$D229=$B$3,J230+1,J230)</f>
        <v>1</v>
      </c>
    </row>
    <row r="232" customFormat="false" ht="15" hidden="false" customHeight="false" outlineLevel="0" collapsed="false">
      <c r="J232" s="34" t="n">
        <f aca="false">IF(Journal!$D230=$B$3,J231+1,J231)</f>
        <v>1</v>
      </c>
    </row>
    <row r="233" customFormat="false" ht="15" hidden="false" customHeight="false" outlineLevel="0" collapsed="false">
      <c r="J233" s="34" t="n">
        <f aca="false">IF(Journal!$D231=$B$3,J232+1,J232)</f>
        <v>1</v>
      </c>
    </row>
    <row r="234" customFormat="false" ht="15" hidden="false" customHeight="false" outlineLevel="0" collapsed="false">
      <c r="J234" s="34" t="n">
        <f aca="false">IF(Journal!$D232=$B$3,J233+1,J233)</f>
        <v>1</v>
      </c>
    </row>
    <row r="235" customFormat="false" ht="15" hidden="false" customHeight="false" outlineLevel="0" collapsed="false">
      <c r="J235" s="34" t="n">
        <f aca="false">IF(Journal!$D233=$B$3,J234+1,J234)</f>
        <v>1</v>
      </c>
    </row>
    <row r="236" customFormat="false" ht="15" hidden="false" customHeight="false" outlineLevel="0" collapsed="false">
      <c r="J236" s="34" t="n">
        <f aca="false">IF(Journal!$D234=$B$3,J235+1,J235)</f>
        <v>1</v>
      </c>
    </row>
    <row r="237" customFormat="false" ht="15" hidden="false" customHeight="false" outlineLevel="0" collapsed="false">
      <c r="J237" s="34" t="n">
        <f aca="false">IF(Journal!$D235=$B$3,J236+1,J236)</f>
        <v>1</v>
      </c>
    </row>
    <row r="238" customFormat="false" ht="15" hidden="false" customHeight="false" outlineLevel="0" collapsed="false">
      <c r="J238" s="34" t="n">
        <f aca="false">IF(Journal!$D236=$B$3,J237+1,J237)</f>
        <v>1</v>
      </c>
    </row>
    <row r="239" customFormat="false" ht="15" hidden="false" customHeight="false" outlineLevel="0" collapsed="false">
      <c r="J239" s="34" t="n">
        <f aca="false">IF(Journal!$D237=$B$3,J238+1,J238)</f>
        <v>1</v>
      </c>
    </row>
    <row r="240" customFormat="false" ht="15" hidden="false" customHeight="false" outlineLevel="0" collapsed="false">
      <c r="J240" s="34" t="n">
        <f aca="false">IF(Journal!$D238=$B$3,J239+1,J239)</f>
        <v>1</v>
      </c>
    </row>
    <row r="241" customFormat="false" ht="15" hidden="false" customHeight="false" outlineLevel="0" collapsed="false">
      <c r="J241" s="34" t="n">
        <f aca="false">IF(Journal!$D239=$B$3,J240+1,J240)</f>
        <v>1</v>
      </c>
    </row>
    <row r="242" customFormat="false" ht="15" hidden="false" customHeight="false" outlineLevel="0" collapsed="false">
      <c r="J242" s="34" t="n">
        <f aca="false">IF(Journal!$D240=$B$3,J241+1,J241)</f>
        <v>1</v>
      </c>
    </row>
    <row r="243" customFormat="false" ht="15" hidden="false" customHeight="false" outlineLevel="0" collapsed="false">
      <c r="J243" s="34" t="n">
        <f aca="false">IF(Journal!$D241=$B$3,J242+1,J242)</f>
        <v>1</v>
      </c>
    </row>
    <row r="244" customFormat="false" ht="15" hidden="false" customHeight="false" outlineLevel="0" collapsed="false">
      <c r="J244" s="34" t="n">
        <f aca="false">IF(Journal!$D242=$B$3,J243+1,J243)</f>
        <v>1</v>
      </c>
    </row>
    <row r="245" customFormat="false" ht="15" hidden="false" customHeight="false" outlineLevel="0" collapsed="false">
      <c r="J245" s="34" t="n">
        <f aca="false">IF(Journal!$D243=$B$3,J244+1,J244)</f>
        <v>1</v>
      </c>
    </row>
    <row r="246" customFormat="false" ht="15" hidden="false" customHeight="false" outlineLevel="0" collapsed="false">
      <c r="J246" s="34" t="n">
        <f aca="false">IF(Journal!$D244=$B$3,J245+1,J245)</f>
        <v>1</v>
      </c>
    </row>
    <row r="247" customFormat="false" ht="15" hidden="false" customHeight="false" outlineLevel="0" collapsed="false">
      <c r="J247" s="34" t="n">
        <f aca="false">IF(Journal!$D245=$B$3,J246+1,J246)</f>
        <v>1</v>
      </c>
    </row>
    <row r="248" customFormat="false" ht="15" hidden="false" customHeight="false" outlineLevel="0" collapsed="false">
      <c r="J248" s="34" t="n">
        <f aca="false">IF(Journal!$D246=$B$3,J247+1,J247)</f>
        <v>1</v>
      </c>
    </row>
    <row r="249" customFormat="false" ht="15" hidden="false" customHeight="false" outlineLevel="0" collapsed="false">
      <c r="J249" s="34" t="n">
        <f aca="false">IF(Journal!$D247=$B$3,J248+1,J248)</f>
        <v>1</v>
      </c>
    </row>
    <row r="250" customFormat="false" ht="15" hidden="false" customHeight="false" outlineLevel="0" collapsed="false">
      <c r="J250" s="34" t="n">
        <f aca="false">IF(Journal!$D248=$B$3,J249+1,J249)</f>
        <v>1</v>
      </c>
    </row>
    <row r="251" customFormat="false" ht="15" hidden="false" customHeight="false" outlineLevel="0" collapsed="false">
      <c r="J251" s="34" t="n">
        <f aca="false">IF(Journal!$D249=$B$3,J250+1,J250)</f>
        <v>1</v>
      </c>
    </row>
    <row r="252" customFormat="false" ht="15" hidden="false" customHeight="false" outlineLevel="0" collapsed="false">
      <c r="J252" s="34" t="n">
        <f aca="false">IF(Journal!$D250=$B$3,J251+1,J251)</f>
        <v>1</v>
      </c>
    </row>
    <row r="253" customFormat="false" ht="15" hidden="false" customHeight="false" outlineLevel="0" collapsed="false">
      <c r="J253" s="34" t="n">
        <f aca="false">IF(Journal!$D251=$B$3,J252+1,J252)</f>
        <v>1</v>
      </c>
    </row>
    <row r="254" customFormat="false" ht="15" hidden="false" customHeight="false" outlineLevel="0" collapsed="false">
      <c r="J254" s="34" t="n">
        <f aca="false">IF(Journal!$D252=$B$3,J253+1,J253)</f>
        <v>1</v>
      </c>
    </row>
    <row r="255" customFormat="false" ht="15" hidden="false" customHeight="false" outlineLevel="0" collapsed="false">
      <c r="J255" s="34" t="n">
        <f aca="false">IF(Journal!$D253=$B$3,J254+1,J254)</f>
        <v>1</v>
      </c>
    </row>
    <row r="256" customFormat="false" ht="15" hidden="false" customHeight="false" outlineLevel="0" collapsed="false">
      <c r="J256" s="34" t="n">
        <f aca="false">IF(Journal!$D254=$B$3,J255+1,J255)</f>
        <v>1</v>
      </c>
    </row>
    <row r="257" customFormat="false" ht="15" hidden="false" customHeight="false" outlineLevel="0" collapsed="false">
      <c r="J257" s="34" t="n">
        <f aca="false">IF(Journal!$D255=$B$3,J256+1,J256)</f>
        <v>1</v>
      </c>
    </row>
    <row r="258" customFormat="false" ht="15" hidden="false" customHeight="false" outlineLevel="0" collapsed="false">
      <c r="J258" s="34" t="n">
        <f aca="false">IF(Journal!$D256=$B$3,J257+1,J257)</f>
        <v>1</v>
      </c>
    </row>
    <row r="259" customFormat="false" ht="15" hidden="false" customHeight="false" outlineLevel="0" collapsed="false">
      <c r="J259" s="34" t="n">
        <f aca="false">IF(Journal!$D257=$B$3,J258+1,J258)</f>
        <v>1</v>
      </c>
    </row>
    <row r="260" customFormat="false" ht="15" hidden="false" customHeight="false" outlineLevel="0" collapsed="false">
      <c r="J260" s="34" t="n">
        <f aca="false">IF(Journal!$D258=$B$3,J259+1,J259)</f>
        <v>1</v>
      </c>
    </row>
    <row r="261" customFormat="false" ht="15" hidden="false" customHeight="false" outlineLevel="0" collapsed="false">
      <c r="J261" s="34" t="n">
        <f aca="false">IF(Journal!$D259=$B$3,J260+1,J260)</f>
        <v>1</v>
      </c>
    </row>
    <row r="262" customFormat="false" ht="15" hidden="false" customHeight="false" outlineLevel="0" collapsed="false">
      <c r="J262" s="34" t="n">
        <f aca="false">IF(Journal!$D260=$B$3,J261+1,J261)</f>
        <v>1</v>
      </c>
    </row>
    <row r="263" customFormat="false" ht="15" hidden="false" customHeight="false" outlineLevel="0" collapsed="false">
      <c r="J263" s="34" t="n">
        <f aca="false">IF(Journal!$D261=$B$3,J262+1,J262)</f>
        <v>1</v>
      </c>
    </row>
    <row r="264" customFormat="false" ht="15" hidden="false" customHeight="false" outlineLevel="0" collapsed="false">
      <c r="J264" s="34" t="n">
        <f aca="false">IF(Journal!$D262=$B$3,J263+1,J263)</f>
        <v>1</v>
      </c>
    </row>
    <row r="265" customFormat="false" ht="15" hidden="false" customHeight="false" outlineLevel="0" collapsed="false">
      <c r="J265" s="34" t="n">
        <f aca="false">IF(Journal!$D263=$B$3,J264+1,J264)</f>
        <v>1</v>
      </c>
    </row>
    <row r="266" customFormat="false" ht="15" hidden="false" customHeight="false" outlineLevel="0" collapsed="false">
      <c r="J266" s="34" t="n">
        <f aca="false">IF(Journal!$D264=$B$3,J265+1,J265)</f>
        <v>1</v>
      </c>
    </row>
    <row r="267" customFormat="false" ht="15" hidden="false" customHeight="false" outlineLevel="0" collapsed="false">
      <c r="J267" s="34" t="n">
        <f aca="false">IF(Journal!$D265=$B$3,J266+1,J266)</f>
        <v>1</v>
      </c>
    </row>
    <row r="268" customFormat="false" ht="15" hidden="false" customHeight="false" outlineLevel="0" collapsed="false">
      <c r="J268" s="34" t="n">
        <f aca="false">IF(Journal!$D266=$B$3,J267+1,J267)</f>
        <v>1</v>
      </c>
    </row>
    <row r="269" customFormat="false" ht="15" hidden="false" customHeight="false" outlineLevel="0" collapsed="false">
      <c r="J269" s="34" t="n">
        <f aca="false">IF(Journal!$D267=$B$3,J268+1,J268)</f>
        <v>1</v>
      </c>
    </row>
    <row r="270" customFormat="false" ht="15" hidden="false" customHeight="false" outlineLevel="0" collapsed="false">
      <c r="J270" s="34" t="n">
        <f aca="false">IF(Journal!$D268=$B$3,J269+1,J269)</f>
        <v>1</v>
      </c>
    </row>
    <row r="271" customFormat="false" ht="15" hidden="false" customHeight="false" outlineLevel="0" collapsed="false">
      <c r="J271" s="34" t="n">
        <f aca="false">IF(Journal!$D269=$B$3,J270+1,J270)</f>
        <v>1</v>
      </c>
    </row>
    <row r="272" customFormat="false" ht="15" hidden="false" customHeight="false" outlineLevel="0" collapsed="false">
      <c r="J272" s="34" t="n">
        <f aca="false">IF(Journal!$D270=$B$3,J271+1,J271)</f>
        <v>1</v>
      </c>
    </row>
    <row r="273" customFormat="false" ht="15" hidden="false" customHeight="false" outlineLevel="0" collapsed="false">
      <c r="J273" s="34" t="n">
        <f aca="false">IF(Journal!$D271=$B$3,J272+1,J272)</f>
        <v>1</v>
      </c>
    </row>
    <row r="274" customFormat="false" ht="15" hidden="false" customHeight="false" outlineLevel="0" collapsed="false">
      <c r="J274" s="34" t="n">
        <f aca="false">IF(Journal!$D272=$B$3,J273+1,J273)</f>
        <v>1</v>
      </c>
    </row>
    <row r="275" customFormat="false" ht="15" hidden="false" customHeight="false" outlineLevel="0" collapsed="false">
      <c r="J275" s="34" t="n">
        <f aca="false">IF(Journal!$D273=$B$3,J274+1,J274)</f>
        <v>1</v>
      </c>
    </row>
    <row r="276" customFormat="false" ht="15" hidden="false" customHeight="false" outlineLevel="0" collapsed="false">
      <c r="J276" s="34" t="n">
        <f aca="false">IF(Journal!$D274=$B$3,J275+1,J275)</f>
        <v>1</v>
      </c>
    </row>
    <row r="277" customFormat="false" ht="15" hidden="false" customHeight="false" outlineLevel="0" collapsed="false">
      <c r="J277" s="34" t="n">
        <f aca="false">IF(Journal!$D275=$B$3,J276+1,J276)</f>
        <v>1</v>
      </c>
    </row>
    <row r="278" customFormat="false" ht="15" hidden="false" customHeight="false" outlineLevel="0" collapsed="false">
      <c r="J278" s="34" t="n">
        <f aca="false">IF(Journal!$D276=$B$3,J277+1,J277)</f>
        <v>1</v>
      </c>
    </row>
    <row r="279" customFormat="false" ht="15" hidden="false" customHeight="false" outlineLevel="0" collapsed="false">
      <c r="J279" s="34" t="n">
        <f aca="false">IF(Journal!$D277=$B$3,J278+1,J278)</f>
        <v>1</v>
      </c>
    </row>
    <row r="280" customFormat="false" ht="15" hidden="false" customHeight="false" outlineLevel="0" collapsed="false">
      <c r="J280" s="34" t="n">
        <f aca="false">IF(Journal!$D278=$B$3,J279+1,J279)</f>
        <v>1</v>
      </c>
    </row>
    <row r="281" customFormat="false" ht="15" hidden="false" customHeight="false" outlineLevel="0" collapsed="false">
      <c r="J281" s="34" t="n">
        <f aca="false">IF(Journal!$D279=$B$3,J280+1,J280)</f>
        <v>1</v>
      </c>
    </row>
    <row r="282" customFormat="false" ht="15" hidden="false" customHeight="false" outlineLevel="0" collapsed="false">
      <c r="J282" s="34" t="n">
        <f aca="false">IF(Journal!$D280=$B$3,J281+1,J281)</f>
        <v>1</v>
      </c>
    </row>
    <row r="283" customFormat="false" ht="15" hidden="false" customHeight="false" outlineLevel="0" collapsed="false">
      <c r="J283" s="34" t="n">
        <f aca="false">IF(Journal!$D281=$B$3,J282+1,J282)</f>
        <v>1</v>
      </c>
    </row>
    <row r="284" customFormat="false" ht="15" hidden="false" customHeight="false" outlineLevel="0" collapsed="false">
      <c r="J284" s="34" t="n">
        <f aca="false">IF(Journal!$D282=$B$3,J283+1,J283)</f>
        <v>1</v>
      </c>
    </row>
    <row r="285" customFormat="false" ht="15" hidden="false" customHeight="false" outlineLevel="0" collapsed="false">
      <c r="J285" s="34" t="n">
        <f aca="false">IF(Journal!$D283=$B$3,J284+1,J284)</f>
        <v>1</v>
      </c>
    </row>
    <row r="286" customFormat="false" ht="15" hidden="false" customHeight="false" outlineLevel="0" collapsed="false">
      <c r="J286" s="34" t="n">
        <f aca="false">IF(Journal!$D284=$B$3,J285+1,J285)</f>
        <v>1</v>
      </c>
    </row>
    <row r="287" customFormat="false" ht="15" hidden="false" customHeight="false" outlineLevel="0" collapsed="false">
      <c r="J287" s="34" t="n">
        <f aca="false">IF(Journal!$D285=$B$3,J286+1,J286)</f>
        <v>1</v>
      </c>
    </row>
    <row r="288" customFormat="false" ht="15" hidden="false" customHeight="false" outlineLevel="0" collapsed="false">
      <c r="J288" s="34" t="n">
        <f aca="false">IF(Journal!$D286=$B$3,J287+1,J287)</f>
        <v>1</v>
      </c>
    </row>
    <row r="289" customFormat="false" ht="15" hidden="false" customHeight="false" outlineLevel="0" collapsed="false">
      <c r="J289" s="34" t="n">
        <f aca="false">IF(Journal!$D287=$B$3,J288+1,J288)</f>
        <v>1</v>
      </c>
    </row>
    <row r="290" customFormat="false" ht="15" hidden="false" customHeight="false" outlineLevel="0" collapsed="false">
      <c r="J290" s="34" t="n">
        <f aca="false">IF(Journal!$D288=$B$3,J289+1,J289)</f>
        <v>1</v>
      </c>
    </row>
    <row r="291" customFormat="false" ht="15" hidden="false" customHeight="false" outlineLevel="0" collapsed="false">
      <c r="J291" s="34" t="n">
        <f aca="false">IF(Journal!$D289=$B$3,J290+1,J290)</f>
        <v>1</v>
      </c>
    </row>
    <row r="292" customFormat="false" ht="15" hidden="false" customHeight="false" outlineLevel="0" collapsed="false">
      <c r="J292" s="34" t="n">
        <f aca="false">IF(Journal!$D290=$B$3,J291+1,J291)</f>
        <v>1</v>
      </c>
    </row>
    <row r="293" customFormat="false" ht="15" hidden="false" customHeight="false" outlineLevel="0" collapsed="false">
      <c r="J293" s="34" t="n">
        <f aca="false">IF(Journal!$D291=$B$3,J292+1,J292)</f>
        <v>1</v>
      </c>
    </row>
    <row r="294" customFormat="false" ht="15" hidden="false" customHeight="false" outlineLevel="0" collapsed="false">
      <c r="J294" s="34" t="n">
        <f aca="false">IF(Journal!$D292=$B$3,J293+1,J293)</f>
        <v>1</v>
      </c>
    </row>
    <row r="295" customFormat="false" ht="15" hidden="false" customHeight="false" outlineLevel="0" collapsed="false">
      <c r="J295" s="34" t="n">
        <f aca="false">IF(Journal!$D293=$B$3,J294+1,J294)</f>
        <v>1</v>
      </c>
    </row>
    <row r="296" customFormat="false" ht="15" hidden="false" customHeight="false" outlineLevel="0" collapsed="false">
      <c r="J296" s="34" t="n">
        <f aca="false">IF(Journal!$D294=$B$3,J295+1,J295)</f>
        <v>1</v>
      </c>
    </row>
    <row r="297" customFormat="false" ht="15" hidden="false" customHeight="false" outlineLevel="0" collapsed="false">
      <c r="J297" s="34" t="n">
        <f aca="false">IF(Journal!$D295=$B$3,J296+1,J296)</f>
        <v>1</v>
      </c>
    </row>
    <row r="298" customFormat="false" ht="15" hidden="false" customHeight="false" outlineLevel="0" collapsed="false">
      <c r="J298" s="34" t="n">
        <f aca="false">IF(Journal!$D296=$B$3,J297+1,J297)</f>
        <v>1</v>
      </c>
    </row>
    <row r="299" customFormat="false" ht="15" hidden="false" customHeight="false" outlineLevel="0" collapsed="false">
      <c r="J299" s="34" t="n">
        <f aca="false">IF(Journal!$D297=$B$3,J298+1,J298)</f>
        <v>1</v>
      </c>
    </row>
    <row r="300" customFormat="false" ht="15" hidden="false" customHeight="false" outlineLevel="0" collapsed="false">
      <c r="J300" s="34" t="n">
        <f aca="false">IF(Journal!$D298=$B$3,J299+1,J299)</f>
        <v>1</v>
      </c>
    </row>
    <row r="301" customFormat="false" ht="15" hidden="false" customHeight="false" outlineLevel="0" collapsed="false">
      <c r="J301" s="34" t="n">
        <f aca="false">IF(Journal!$D299=$B$3,J300+1,J300)</f>
        <v>1</v>
      </c>
    </row>
    <row r="302" customFormat="false" ht="15" hidden="false" customHeight="false" outlineLevel="0" collapsed="false">
      <c r="J302" s="34" t="n">
        <f aca="false">IF(Journal!$D300=$B$3,J301+1,J301)</f>
        <v>1</v>
      </c>
    </row>
    <row r="303" customFormat="false" ht="15" hidden="false" customHeight="false" outlineLevel="0" collapsed="false">
      <c r="J303" s="34" t="n">
        <f aca="false">IF(Journal!$D301=$B$3,J302+1,J302)</f>
        <v>1</v>
      </c>
    </row>
    <row r="304" customFormat="false" ht="15" hidden="false" customHeight="false" outlineLevel="0" collapsed="false">
      <c r="J304" s="34" t="n">
        <f aca="false">IF(Journal!$D302=$B$3,J303+1,J303)</f>
        <v>1</v>
      </c>
    </row>
    <row r="305" customFormat="false" ht="15" hidden="false" customHeight="false" outlineLevel="0" collapsed="false">
      <c r="J305" s="34" t="n">
        <f aca="false">IF(Journal!$D303=$B$3,J304+1,J304)</f>
        <v>1</v>
      </c>
    </row>
    <row r="306" customFormat="false" ht="15" hidden="false" customHeight="false" outlineLevel="0" collapsed="false">
      <c r="J306" s="34" t="n">
        <f aca="false">IF(Journal!$D304=$B$3,J305+1,J305)</f>
        <v>1</v>
      </c>
    </row>
    <row r="307" customFormat="false" ht="15" hidden="false" customHeight="false" outlineLevel="0" collapsed="false">
      <c r="J307" s="34" t="n">
        <f aca="false">IF(Journal!$D305=$B$3,J306+1,J306)</f>
        <v>1</v>
      </c>
    </row>
    <row r="308" customFormat="false" ht="15" hidden="false" customHeight="false" outlineLevel="0" collapsed="false">
      <c r="J308" s="34" t="n">
        <f aca="false">IF(Journal!$D306=$B$3,J307+1,J307)</f>
        <v>1</v>
      </c>
    </row>
    <row r="309" customFormat="false" ht="15" hidden="false" customHeight="false" outlineLevel="0" collapsed="false">
      <c r="J309" s="34" t="n">
        <f aca="false">IF(Journal!$D307=$B$3,J308+1,J308)</f>
        <v>1</v>
      </c>
    </row>
    <row r="310" customFormat="false" ht="15" hidden="false" customHeight="false" outlineLevel="0" collapsed="false">
      <c r="J310" s="34" t="n">
        <f aca="false">IF(Journal!$D308=$B$3,J309+1,J309)</f>
        <v>1</v>
      </c>
    </row>
    <row r="311" customFormat="false" ht="15" hidden="false" customHeight="false" outlineLevel="0" collapsed="false">
      <c r="J311" s="34" t="n">
        <f aca="false">IF(Journal!$D309=$B$3,J310+1,J310)</f>
        <v>1</v>
      </c>
    </row>
    <row r="312" customFormat="false" ht="15" hidden="false" customHeight="false" outlineLevel="0" collapsed="false">
      <c r="J312" s="34" t="n">
        <f aca="false">IF(Journal!$D310=$B$3,J311+1,J311)</f>
        <v>1</v>
      </c>
    </row>
    <row r="313" customFormat="false" ht="15" hidden="false" customHeight="false" outlineLevel="0" collapsed="false">
      <c r="J313" s="34" t="n">
        <f aca="false">IF(Journal!$D311=$B$3,J312+1,J312)</f>
        <v>1</v>
      </c>
    </row>
    <row r="314" customFormat="false" ht="15" hidden="false" customHeight="false" outlineLevel="0" collapsed="false">
      <c r="J314" s="34" t="n">
        <f aca="false">IF(Journal!$D312=$B$3,J313+1,J313)</f>
        <v>1</v>
      </c>
    </row>
    <row r="315" customFormat="false" ht="15" hidden="false" customHeight="false" outlineLevel="0" collapsed="false">
      <c r="J315" s="34" t="n">
        <f aca="false">IF(Journal!$D313=$B$3,J314+1,J314)</f>
        <v>1</v>
      </c>
    </row>
    <row r="316" customFormat="false" ht="15" hidden="false" customHeight="false" outlineLevel="0" collapsed="false">
      <c r="J316" s="34" t="n">
        <f aca="false">IF(Journal!$D314=$B$3,J315+1,J315)</f>
        <v>1</v>
      </c>
    </row>
    <row r="317" customFormat="false" ht="15" hidden="false" customHeight="false" outlineLevel="0" collapsed="false">
      <c r="J317" s="34" t="n">
        <f aca="false">IF(Journal!$D315=$B$3,J316+1,J316)</f>
        <v>1</v>
      </c>
    </row>
    <row r="318" customFormat="false" ht="15" hidden="false" customHeight="false" outlineLevel="0" collapsed="false">
      <c r="J318" s="34" t="n">
        <f aca="false">IF(Journal!$D316=$B$3,J317+1,J317)</f>
        <v>1</v>
      </c>
    </row>
    <row r="319" customFormat="false" ht="15" hidden="false" customHeight="false" outlineLevel="0" collapsed="false">
      <c r="J319" s="34" t="n">
        <f aca="false">IF(Journal!$D317=$B$3,J318+1,J318)</f>
        <v>1</v>
      </c>
    </row>
    <row r="320" customFormat="false" ht="15" hidden="false" customHeight="false" outlineLevel="0" collapsed="false">
      <c r="J320" s="34" t="n">
        <f aca="false">IF(Journal!$D318=$B$3,J319+1,J319)</f>
        <v>1</v>
      </c>
    </row>
    <row r="321" customFormat="false" ht="15" hidden="false" customHeight="false" outlineLevel="0" collapsed="false">
      <c r="J321" s="34" t="n">
        <f aca="false">IF(Journal!$D319=$B$3,J320+1,J320)</f>
        <v>1</v>
      </c>
    </row>
    <row r="322" customFormat="false" ht="15" hidden="false" customHeight="false" outlineLevel="0" collapsed="false">
      <c r="J322" s="34" t="n">
        <f aca="false">IF(Journal!$D320=$B$3,J321+1,J321)</f>
        <v>1</v>
      </c>
    </row>
    <row r="323" customFormat="false" ht="15" hidden="false" customHeight="false" outlineLevel="0" collapsed="false">
      <c r="J323" s="34" t="n">
        <f aca="false">IF(Journal!$D321=$B$3,J322+1,J322)</f>
        <v>1</v>
      </c>
    </row>
    <row r="324" customFormat="false" ht="15" hidden="false" customHeight="false" outlineLevel="0" collapsed="false">
      <c r="J324" s="34" t="n">
        <f aca="false">IF(Journal!$D322=$B$3,J323+1,J323)</f>
        <v>1</v>
      </c>
    </row>
    <row r="325" customFormat="false" ht="15" hidden="false" customHeight="false" outlineLevel="0" collapsed="false">
      <c r="J325" s="34" t="n">
        <f aca="false">IF(Journal!$D323=$B$3,J324+1,J324)</f>
        <v>1</v>
      </c>
    </row>
    <row r="326" customFormat="false" ht="15" hidden="false" customHeight="false" outlineLevel="0" collapsed="false">
      <c r="J326" s="34" t="n">
        <f aca="false">IF(Journal!$D324=$B$3,J325+1,J325)</f>
        <v>1</v>
      </c>
    </row>
    <row r="327" customFormat="false" ht="15" hidden="false" customHeight="false" outlineLevel="0" collapsed="false">
      <c r="J327" s="34" t="n">
        <f aca="false">IF(Journal!$D325=$B$3,J326+1,J326)</f>
        <v>1</v>
      </c>
    </row>
    <row r="328" customFormat="false" ht="15" hidden="false" customHeight="false" outlineLevel="0" collapsed="false">
      <c r="J328" s="34" t="n">
        <f aca="false">IF(Journal!$D326=$B$3,J327+1,J327)</f>
        <v>1</v>
      </c>
    </row>
    <row r="329" customFormat="false" ht="15" hidden="false" customHeight="false" outlineLevel="0" collapsed="false">
      <c r="J329" s="34" t="n">
        <f aca="false">IF(Journal!$D327=$B$3,J328+1,J328)</f>
        <v>1</v>
      </c>
    </row>
    <row r="330" customFormat="false" ht="15" hidden="false" customHeight="false" outlineLevel="0" collapsed="false">
      <c r="J330" s="34" t="n">
        <f aca="false">IF(Journal!$D328=$B$3,J329+1,J329)</f>
        <v>1</v>
      </c>
    </row>
    <row r="331" customFormat="false" ht="15" hidden="false" customHeight="false" outlineLevel="0" collapsed="false">
      <c r="J331" s="34" t="n">
        <f aca="false">IF(Journal!$D329=$B$3,J330+1,J330)</f>
        <v>1</v>
      </c>
    </row>
    <row r="332" customFormat="false" ht="15" hidden="false" customHeight="false" outlineLevel="0" collapsed="false">
      <c r="J332" s="34" t="n">
        <f aca="false">IF(Journal!$D330=$B$3,J331+1,J331)</f>
        <v>1</v>
      </c>
    </row>
    <row r="333" customFormat="false" ht="15" hidden="false" customHeight="false" outlineLevel="0" collapsed="false">
      <c r="J333" s="34" t="n">
        <f aca="false">IF(Journal!$D331=$B$3,J332+1,J332)</f>
        <v>1</v>
      </c>
    </row>
    <row r="334" customFormat="false" ht="15" hidden="false" customHeight="false" outlineLevel="0" collapsed="false">
      <c r="J334" s="34" t="n">
        <f aca="false">IF(Journal!$D332=$B$3,J333+1,J333)</f>
        <v>1</v>
      </c>
    </row>
    <row r="335" customFormat="false" ht="15" hidden="false" customHeight="false" outlineLevel="0" collapsed="false">
      <c r="J335" s="34" t="n">
        <f aca="false">IF(Journal!$D333=$B$3,J334+1,J334)</f>
        <v>1</v>
      </c>
    </row>
    <row r="336" customFormat="false" ht="15" hidden="false" customHeight="false" outlineLevel="0" collapsed="false">
      <c r="J336" s="34" t="n">
        <f aca="false">IF(Journal!$D334=$B$3,J335+1,J335)</f>
        <v>1</v>
      </c>
    </row>
    <row r="337" customFormat="false" ht="15" hidden="false" customHeight="false" outlineLevel="0" collapsed="false">
      <c r="J337" s="34" t="n">
        <f aca="false">IF(Journal!$D335=$B$3,J336+1,J336)</f>
        <v>1</v>
      </c>
    </row>
    <row r="338" customFormat="false" ht="15" hidden="false" customHeight="false" outlineLevel="0" collapsed="false">
      <c r="J338" s="34" t="n">
        <f aca="false">IF(Journal!$D336=$B$3,J337+1,J337)</f>
        <v>1</v>
      </c>
    </row>
    <row r="339" customFormat="false" ht="15" hidden="false" customHeight="false" outlineLevel="0" collapsed="false">
      <c r="J339" s="34" t="n">
        <f aca="false">IF(Journal!$D337=$B$3,J338+1,J338)</f>
        <v>1</v>
      </c>
    </row>
    <row r="340" customFormat="false" ht="15" hidden="false" customHeight="false" outlineLevel="0" collapsed="false">
      <c r="J340" s="34" t="n">
        <f aca="false">IF(Journal!$D338=$B$3,J339+1,J339)</f>
        <v>1</v>
      </c>
    </row>
    <row r="341" customFormat="false" ht="15" hidden="false" customHeight="false" outlineLevel="0" collapsed="false">
      <c r="J341" s="34" t="n">
        <f aca="false">IF(Journal!$D339=$B$3,J340+1,J340)</f>
        <v>1</v>
      </c>
    </row>
    <row r="342" customFormat="false" ht="15" hidden="false" customHeight="false" outlineLevel="0" collapsed="false">
      <c r="J342" s="34" t="n">
        <f aca="false">IF(Journal!$D340=$B$3,J341+1,J341)</f>
        <v>1</v>
      </c>
    </row>
    <row r="343" customFormat="false" ht="15" hidden="false" customHeight="false" outlineLevel="0" collapsed="false">
      <c r="J343" s="34" t="n">
        <f aca="false">IF(Journal!$D341=$B$3,J342+1,J342)</f>
        <v>1</v>
      </c>
    </row>
    <row r="344" customFormat="false" ht="15" hidden="false" customHeight="false" outlineLevel="0" collapsed="false">
      <c r="J344" s="34" t="n">
        <f aca="false">IF(Journal!$D342=$B$3,J343+1,J343)</f>
        <v>1</v>
      </c>
    </row>
    <row r="345" customFormat="false" ht="15" hidden="false" customHeight="false" outlineLevel="0" collapsed="false">
      <c r="J345" s="34" t="n">
        <f aca="false">IF(Journal!$D343=$B$3,J344+1,J344)</f>
        <v>1</v>
      </c>
    </row>
    <row r="346" customFormat="false" ht="15" hidden="false" customHeight="false" outlineLevel="0" collapsed="false">
      <c r="J346" s="34" t="n">
        <f aca="false">IF(Journal!$D344=$B$3,J345+1,J345)</f>
        <v>1</v>
      </c>
    </row>
    <row r="347" customFormat="false" ht="15" hidden="false" customHeight="false" outlineLevel="0" collapsed="false">
      <c r="J347" s="34" t="n">
        <f aca="false">IF(Journal!$D345=$B$3,J346+1,J346)</f>
        <v>1</v>
      </c>
    </row>
    <row r="348" customFormat="false" ht="15" hidden="false" customHeight="false" outlineLevel="0" collapsed="false">
      <c r="J348" s="34" t="n">
        <f aca="false">IF(Journal!$D346=$B$3,J347+1,J347)</f>
        <v>1</v>
      </c>
    </row>
    <row r="349" customFormat="false" ht="15" hidden="false" customHeight="false" outlineLevel="0" collapsed="false">
      <c r="J349" s="34" t="n">
        <f aca="false">IF(Journal!$D347=$B$3,J348+1,J348)</f>
        <v>1</v>
      </c>
    </row>
    <row r="350" customFormat="false" ht="15" hidden="false" customHeight="false" outlineLevel="0" collapsed="false">
      <c r="J350" s="34" t="n">
        <f aca="false">IF(Journal!$D348=$B$3,J349+1,J349)</f>
        <v>1</v>
      </c>
    </row>
    <row r="351" customFormat="false" ht="15" hidden="false" customHeight="false" outlineLevel="0" collapsed="false">
      <c r="J351" s="34" t="n">
        <f aca="false">IF(Journal!$D349=$B$3,J350+1,J350)</f>
        <v>1</v>
      </c>
    </row>
    <row r="352" customFormat="false" ht="15" hidden="false" customHeight="false" outlineLevel="0" collapsed="false">
      <c r="J352" s="34" t="n">
        <f aca="false">IF(Journal!$D350=$B$3,J351+1,J351)</f>
        <v>1</v>
      </c>
    </row>
    <row r="353" customFormat="false" ht="15" hidden="false" customHeight="false" outlineLevel="0" collapsed="false">
      <c r="J353" s="34" t="n">
        <f aca="false">IF(Journal!$D351=$B$3,J352+1,J352)</f>
        <v>1</v>
      </c>
    </row>
    <row r="354" customFormat="false" ht="15" hidden="false" customHeight="false" outlineLevel="0" collapsed="false">
      <c r="J354" s="34" t="n">
        <f aca="false">IF(Journal!$D352=$B$3,J353+1,J353)</f>
        <v>1</v>
      </c>
    </row>
    <row r="355" customFormat="false" ht="15" hidden="false" customHeight="false" outlineLevel="0" collapsed="false">
      <c r="J355" s="34" t="n">
        <f aca="false">IF(Journal!$D353=$B$3,J354+1,J354)</f>
        <v>1</v>
      </c>
    </row>
    <row r="356" customFormat="false" ht="15" hidden="false" customHeight="false" outlineLevel="0" collapsed="false">
      <c r="J356" s="34" t="n">
        <f aca="false">IF(Journal!$D354=$B$3,J355+1,J355)</f>
        <v>1</v>
      </c>
    </row>
    <row r="357" customFormat="false" ht="15" hidden="false" customHeight="false" outlineLevel="0" collapsed="false">
      <c r="J357" s="34" t="n">
        <f aca="false">IF(Journal!$D355=$B$3,J356+1,J356)</f>
        <v>1</v>
      </c>
    </row>
    <row r="358" customFormat="false" ht="15" hidden="false" customHeight="false" outlineLevel="0" collapsed="false">
      <c r="J358" s="34" t="n">
        <f aca="false">IF(Journal!$D356=$B$3,J357+1,J357)</f>
        <v>1</v>
      </c>
    </row>
    <row r="359" customFormat="false" ht="15" hidden="false" customHeight="false" outlineLevel="0" collapsed="false">
      <c r="J359" s="34" t="n">
        <f aca="false">IF(Journal!$D357=$B$3,J358+1,J358)</f>
        <v>1</v>
      </c>
    </row>
    <row r="360" customFormat="false" ht="15" hidden="false" customHeight="false" outlineLevel="0" collapsed="false">
      <c r="J360" s="34" t="n">
        <f aca="false">IF(Journal!$D358=$B$3,J359+1,J359)</f>
        <v>1</v>
      </c>
    </row>
    <row r="361" customFormat="false" ht="15" hidden="false" customHeight="false" outlineLevel="0" collapsed="false">
      <c r="J361" s="34" t="n">
        <f aca="false">IF(Journal!$D359=$B$3,J360+1,J360)</f>
        <v>1</v>
      </c>
    </row>
    <row r="362" customFormat="false" ht="15" hidden="false" customHeight="false" outlineLevel="0" collapsed="false">
      <c r="J362" s="34" t="n">
        <f aca="false">IF(Journal!$D360=$B$3,J361+1,J361)</f>
        <v>1</v>
      </c>
    </row>
    <row r="363" customFormat="false" ht="15" hidden="false" customHeight="false" outlineLevel="0" collapsed="false">
      <c r="J363" s="34" t="n">
        <f aca="false">IF(Journal!$D361=$B$3,J362+1,J362)</f>
        <v>1</v>
      </c>
    </row>
    <row r="364" customFormat="false" ht="15" hidden="false" customHeight="false" outlineLevel="0" collapsed="false">
      <c r="J364" s="34" t="n">
        <f aca="false">IF(Journal!$D362=$B$3,J363+1,J363)</f>
        <v>1</v>
      </c>
    </row>
    <row r="365" customFormat="false" ht="15" hidden="false" customHeight="false" outlineLevel="0" collapsed="false">
      <c r="J365" s="34" t="n">
        <f aca="false">IF(Journal!$D363=$B$3,J364+1,J364)</f>
        <v>1</v>
      </c>
    </row>
    <row r="366" customFormat="false" ht="15" hidden="false" customHeight="false" outlineLevel="0" collapsed="false">
      <c r="J366" s="34" t="n">
        <f aca="false">IF(Journal!$D364=$B$3,J365+1,J365)</f>
        <v>1</v>
      </c>
    </row>
    <row r="367" customFormat="false" ht="15" hidden="false" customHeight="false" outlineLevel="0" collapsed="false">
      <c r="J367" s="34" t="n">
        <f aca="false">IF(Journal!$D365=$B$3,J366+1,J366)</f>
        <v>1</v>
      </c>
    </row>
    <row r="368" customFormat="false" ht="15" hidden="false" customHeight="false" outlineLevel="0" collapsed="false">
      <c r="J368" s="34" t="n">
        <f aca="false">IF(Journal!$D366=$B$3,J367+1,J367)</f>
        <v>1</v>
      </c>
    </row>
    <row r="369" customFormat="false" ht="15" hidden="false" customHeight="false" outlineLevel="0" collapsed="false">
      <c r="J369" s="34" t="n">
        <f aca="false">IF(Journal!$D367=$B$3,J368+1,J368)</f>
        <v>1</v>
      </c>
    </row>
    <row r="370" customFormat="false" ht="15" hidden="false" customHeight="false" outlineLevel="0" collapsed="false">
      <c r="J370" s="34" t="n">
        <f aca="false">IF(Journal!$D368=$B$3,J369+1,J369)</f>
        <v>1</v>
      </c>
    </row>
    <row r="371" customFormat="false" ht="15" hidden="false" customHeight="false" outlineLevel="0" collapsed="false">
      <c r="J371" s="34" t="n">
        <f aca="false">IF(Journal!$D369=$B$3,J370+1,J370)</f>
        <v>1</v>
      </c>
    </row>
    <row r="372" customFormat="false" ht="15" hidden="false" customHeight="false" outlineLevel="0" collapsed="false">
      <c r="J372" s="34" t="n">
        <f aca="false">IF(Journal!$D370=$B$3,J371+1,J371)</f>
        <v>1</v>
      </c>
    </row>
    <row r="373" customFormat="false" ht="15" hidden="false" customHeight="false" outlineLevel="0" collapsed="false">
      <c r="J373" s="34" t="n">
        <f aca="false">IF(Journal!$D371=$B$3,J372+1,J372)</f>
        <v>1</v>
      </c>
    </row>
    <row r="374" customFormat="false" ht="15" hidden="false" customHeight="false" outlineLevel="0" collapsed="false">
      <c r="J374" s="34" t="n">
        <f aca="false">IF(Journal!$D372=$B$3,J373+1,J373)</f>
        <v>1</v>
      </c>
    </row>
    <row r="375" customFormat="false" ht="15" hidden="false" customHeight="false" outlineLevel="0" collapsed="false">
      <c r="J375" s="34" t="n">
        <f aca="false">IF(Journal!$D373=$B$3,J374+1,J374)</f>
        <v>1</v>
      </c>
    </row>
    <row r="376" customFormat="false" ht="15" hidden="false" customHeight="false" outlineLevel="0" collapsed="false">
      <c r="J376" s="34" t="n">
        <f aca="false">IF(Journal!$D374=$B$3,J375+1,J375)</f>
        <v>1</v>
      </c>
    </row>
    <row r="377" customFormat="false" ht="15" hidden="false" customHeight="false" outlineLevel="0" collapsed="false">
      <c r="J377" s="34" t="n">
        <f aca="false">IF(Journal!$D375=$B$3,J376+1,J376)</f>
        <v>1</v>
      </c>
    </row>
    <row r="378" customFormat="false" ht="15" hidden="false" customHeight="false" outlineLevel="0" collapsed="false">
      <c r="J378" s="34" t="n">
        <f aca="false">IF(Journal!$D376=$B$3,J377+1,J377)</f>
        <v>1</v>
      </c>
    </row>
    <row r="379" customFormat="false" ht="15" hidden="false" customHeight="false" outlineLevel="0" collapsed="false">
      <c r="J379" s="34" t="n">
        <f aca="false">IF(Journal!$D377=$B$3,J378+1,J378)</f>
        <v>1</v>
      </c>
    </row>
    <row r="380" customFormat="false" ht="15" hidden="false" customHeight="false" outlineLevel="0" collapsed="false">
      <c r="J380" s="34" t="n">
        <f aca="false">IF(Journal!$D378=$B$3,J379+1,J379)</f>
        <v>1</v>
      </c>
    </row>
    <row r="381" customFormat="false" ht="15" hidden="false" customHeight="false" outlineLevel="0" collapsed="false">
      <c r="J381" s="34" t="n">
        <f aca="false">IF(Journal!$D379=$B$3,J380+1,J380)</f>
        <v>1</v>
      </c>
    </row>
    <row r="382" customFormat="false" ht="15" hidden="false" customHeight="false" outlineLevel="0" collapsed="false">
      <c r="J382" s="34" t="n">
        <f aca="false">IF(Journal!$D380=$B$3,J381+1,J381)</f>
        <v>1</v>
      </c>
    </row>
    <row r="383" customFormat="false" ht="15" hidden="false" customHeight="false" outlineLevel="0" collapsed="false">
      <c r="J383" s="34" t="n">
        <f aca="false">IF(Journal!$D381=$B$3,J382+1,J382)</f>
        <v>1</v>
      </c>
    </row>
    <row r="384" customFormat="false" ht="15" hidden="false" customHeight="false" outlineLevel="0" collapsed="false">
      <c r="J384" s="34" t="n">
        <f aca="false">IF(Journal!$D382=$B$3,J383+1,J383)</f>
        <v>1</v>
      </c>
    </row>
    <row r="385" customFormat="false" ht="15" hidden="false" customHeight="false" outlineLevel="0" collapsed="false">
      <c r="J385" s="34" t="n">
        <f aca="false">IF(Journal!$D383=$B$3,J384+1,J384)</f>
        <v>1</v>
      </c>
    </row>
    <row r="386" customFormat="false" ht="15" hidden="false" customHeight="false" outlineLevel="0" collapsed="false">
      <c r="J386" s="34" t="n">
        <f aca="false">IF(Journal!$D384=$B$3,J385+1,J385)</f>
        <v>1</v>
      </c>
    </row>
    <row r="387" customFormat="false" ht="15" hidden="false" customHeight="false" outlineLevel="0" collapsed="false">
      <c r="J387" s="34" t="n">
        <f aca="false">IF(Journal!$D385=$B$3,J386+1,J386)</f>
        <v>1</v>
      </c>
    </row>
    <row r="388" customFormat="false" ht="15" hidden="false" customHeight="false" outlineLevel="0" collapsed="false">
      <c r="J388" s="34" t="n">
        <f aca="false">IF(Journal!$D386=$B$3,J387+1,J387)</f>
        <v>1</v>
      </c>
    </row>
    <row r="389" customFormat="false" ht="15" hidden="false" customHeight="false" outlineLevel="0" collapsed="false">
      <c r="J389" s="34" t="n">
        <f aca="false">IF(Journal!$D387=$B$3,J388+1,J388)</f>
        <v>1</v>
      </c>
    </row>
    <row r="390" customFormat="false" ht="15" hidden="false" customHeight="false" outlineLevel="0" collapsed="false">
      <c r="J390" s="34" t="n">
        <f aca="false">IF(Journal!$D388=$B$3,J389+1,J389)</f>
        <v>1</v>
      </c>
    </row>
    <row r="391" customFormat="false" ht="15" hidden="false" customHeight="false" outlineLevel="0" collapsed="false">
      <c r="J391" s="34" t="n">
        <f aca="false">IF(Journal!$D389=$B$3,J390+1,J390)</f>
        <v>1</v>
      </c>
    </row>
    <row r="392" customFormat="false" ht="15" hidden="false" customHeight="false" outlineLevel="0" collapsed="false">
      <c r="J392" s="34" t="n">
        <f aca="false">IF(Journal!$D390=$B$3,J391+1,J391)</f>
        <v>1</v>
      </c>
    </row>
    <row r="393" customFormat="false" ht="15" hidden="false" customHeight="false" outlineLevel="0" collapsed="false">
      <c r="J393" s="34" t="n">
        <f aca="false">IF(Journal!$D391=$B$3,J392+1,J392)</f>
        <v>1</v>
      </c>
    </row>
    <row r="394" customFormat="false" ht="15" hidden="false" customHeight="false" outlineLevel="0" collapsed="false">
      <c r="J394" s="34" t="n">
        <f aca="false">IF(Journal!$D392=$B$3,J393+1,J393)</f>
        <v>1</v>
      </c>
    </row>
    <row r="395" customFormat="false" ht="15" hidden="false" customHeight="false" outlineLevel="0" collapsed="false">
      <c r="J395" s="34" t="n">
        <f aca="false">IF(Journal!$D393=$B$3,J394+1,J394)</f>
        <v>1</v>
      </c>
    </row>
    <row r="396" customFormat="false" ht="15" hidden="false" customHeight="false" outlineLevel="0" collapsed="false">
      <c r="J396" s="34" t="n">
        <f aca="false">IF(Journal!$D394=$B$3,J395+1,J395)</f>
        <v>1</v>
      </c>
    </row>
    <row r="397" customFormat="false" ht="15" hidden="false" customHeight="false" outlineLevel="0" collapsed="false">
      <c r="J397" s="34" t="n">
        <f aca="false">IF(Journal!$D395=$B$3,J396+1,J396)</f>
        <v>1</v>
      </c>
    </row>
    <row r="398" customFormat="false" ht="15" hidden="false" customHeight="false" outlineLevel="0" collapsed="false">
      <c r="J398" s="34" t="n">
        <f aca="false">IF(Journal!$D396=$B$3,J397+1,J397)</f>
        <v>1</v>
      </c>
    </row>
    <row r="399" customFormat="false" ht="15" hidden="false" customHeight="false" outlineLevel="0" collapsed="false">
      <c r="J399" s="34" t="n">
        <f aca="false">IF(Journal!$D397=$B$3,J398+1,J398)</f>
        <v>1</v>
      </c>
    </row>
    <row r="400" customFormat="false" ht="15" hidden="false" customHeight="false" outlineLevel="0" collapsed="false">
      <c r="J400" s="34" t="n">
        <f aca="false">IF(Journal!$D398=$B$3,J399+1,J399)</f>
        <v>1</v>
      </c>
    </row>
    <row r="401" customFormat="false" ht="15" hidden="false" customHeight="false" outlineLevel="0" collapsed="false">
      <c r="J401" s="34" t="n">
        <f aca="false">IF(Journal!$D399=$B$3,J400+1,J400)</f>
        <v>1</v>
      </c>
    </row>
    <row r="402" customFormat="false" ht="15" hidden="false" customHeight="false" outlineLevel="0" collapsed="false">
      <c r="J402" s="34" t="n">
        <f aca="false">IF(Journal!$D400=$B$3,J401+1,J401)</f>
        <v>1</v>
      </c>
    </row>
    <row r="403" customFormat="false" ht="15" hidden="false" customHeight="false" outlineLevel="0" collapsed="false">
      <c r="J403" s="34" t="n">
        <f aca="false">IF(Journal!$D401=$B$3,J402+1,J402)</f>
        <v>1</v>
      </c>
    </row>
    <row r="404" customFormat="false" ht="15" hidden="false" customHeight="false" outlineLevel="0" collapsed="false">
      <c r="J404" s="34" t="n">
        <f aca="false">IF(Journal!$D402=$B$3,J403+1,J403)</f>
        <v>1</v>
      </c>
    </row>
    <row r="405" customFormat="false" ht="15" hidden="false" customHeight="false" outlineLevel="0" collapsed="false">
      <c r="J405" s="34" t="n">
        <f aca="false">IF(Journal!$D403=$B$3,J404+1,J404)</f>
        <v>1</v>
      </c>
    </row>
    <row r="406" customFormat="false" ht="15" hidden="false" customHeight="false" outlineLevel="0" collapsed="false">
      <c r="J406" s="34" t="n">
        <f aca="false">IF(Journal!$D404=$B$3,J405+1,J405)</f>
        <v>1</v>
      </c>
    </row>
    <row r="407" customFormat="false" ht="15" hidden="false" customHeight="false" outlineLevel="0" collapsed="false">
      <c r="J407" s="34" t="n">
        <f aca="false">IF(Journal!$D405=$B$3,J406+1,J406)</f>
        <v>1</v>
      </c>
    </row>
    <row r="408" customFormat="false" ht="15" hidden="false" customHeight="false" outlineLevel="0" collapsed="false">
      <c r="J408" s="34" t="n">
        <f aca="false">IF(Journal!$D406=$B$3,J407+1,J407)</f>
        <v>1</v>
      </c>
    </row>
    <row r="409" customFormat="false" ht="15" hidden="false" customHeight="false" outlineLevel="0" collapsed="false">
      <c r="J409" s="34" t="n">
        <f aca="false">IF(Journal!$D407=$B$3,J408+1,J408)</f>
        <v>1</v>
      </c>
    </row>
    <row r="410" customFormat="false" ht="15" hidden="false" customHeight="false" outlineLevel="0" collapsed="false">
      <c r="J410" s="34" t="n">
        <f aca="false">IF(Journal!$D408=$B$3,J409+1,J409)</f>
        <v>1</v>
      </c>
    </row>
    <row r="411" customFormat="false" ht="15" hidden="false" customHeight="false" outlineLevel="0" collapsed="false">
      <c r="J411" s="34" t="n">
        <f aca="false">IF(Journal!$D409=$B$3,J410+1,J410)</f>
        <v>1</v>
      </c>
    </row>
    <row r="412" customFormat="false" ht="15" hidden="false" customHeight="false" outlineLevel="0" collapsed="false">
      <c r="J412" s="34" t="n">
        <f aca="false">IF(Journal!$D410=$B$3,J411+1,J411)</f>
        <v>1</v>
      </c>
    </row>
    <row r="413" customFormat="false" ht="15" hidden="false" customHeight="false" outlineLevel="0" collapsed="false">
      <c r="J413" s="34" t="n">
        <f aca="false">IF(Journal!$D411=$B$3,J412+1,J412)</f>
        <v>1</v>
      </c>
    </row>
    <row r="414" customFormat="false" ht="15" hidden="false" customHeight="false" outlineLevel="0" collapsed="false">
      <c r="J414" s="34" t="n">
        <f aca="false">IF(Journal!$D412=$B$3,J413+1,J413)</f>
        <v>1</v>
      </c>
    </row>
    <row r="415" customFormat="false" ht="15" hidden="false" customHeight="false" outlineLevel="0" collapsed="false">
      <c r="J415" s="34" t="n">
        <f aca="false">IF(Journal!$D413=$B$3,J414+1,J414)</f>
        <v>1</v>
      </c>
    </row>
    <row r="416" customFormat="false" ht="15" hidden="false" customHeight="false" outlineLevel="0" collapsed="false">
      <c r="J416" s="34" t="n">
        <f aca="false">IF(Journal!$D414=$B$3,J415+1,J415)</f>
        <v>1</v>
      </c>
    </row>
    <row r="417" customFormat="false" ht="15" hidden="false" customHeight="false" outlineLevel="0" collapsed="false">
      <c r="J417" s="34" t="n">
        <f aca="false">IF(Journal!$D415=$B$3,J416+1,J416)</f>
        <v>1</v>
      </c>
    </row>
    <row r="418" customFormat="false" ht="15" hidden="false" customHeight="false" outlineLevel="0" collapsed="false">
      <c r="J418" s="34" t="n">
        <f aca="false">IF(Journal!$D416=$B$3,J417+1,J417)</f>
        <v>1</v>
      </c>
    </row>
    <row r="419" customFormat="false" ht="15" hidden="false" customHeight="false" outlineLevel="0" collapsed="false">
      <c r="J419" s="34" t="n">
        <f aca="false">IF(Journal!$D417=$B$3,J418+1,J418)</f>
        <v>1</v>
      </c>
    </row>
    <row r="420" customFormat="false" ht="15" hidden="false" customHeight="false" outlineLevel="0" collapsed="false">
      <c r="J420" s="34" t="n">
        <f aca="false">IF(Journal!$D418=$B$3,J419+1,J419)</f>
        <v>1</v>
      </c>
    </row>
    <row r="421" customFormat="false" ht="15" hidden="false" customHeight="false" outlineLevel="0" collapsed="false">
      <c r="J421" s="34" t="n">
        <f aca="false">IF(Journal!$D419=$B$3,J420+1,J420)</f>
        <v>1</v>
      </c>
    </row>
    <row r="422" customFormat="false" ht="15" hidden="false" customHeight="false" outlineLevel="0" collapsed="false">
      <c r="J422" s="34" t="n">
        <f aca="false">IF(Journal!$D420=$B$3,J421+1,J421)</f>
        <v>1</v>
      </c>
    </row>
    <row r="423" customFormat="false" ht="15" hidden="false" customHeight="false" outlineLevel="0" collapsed="false">
      <c r="J423" s="34" t="n">
        <f aca="false">IF(Journal!$D421=$B$3,J422+1,J422)</f>
        <v>1</v>
      </c>
    </row>
    <row r="424" customFormat="false" ht="15" hidden="false" customHeight="false" outlineLevel="0" collapsed="false">
      <c r="J424" s="34" t="n">
        <f aca="false">IF(Journal!$D422=$B$3,J423+1,J423)</f>
        <v>1</v>
      </c>
    </row>
    <row r="425" customFormat="false" ht="15" hidden="false" customHeight="false" outlineLevel="0" collapsed="false">
      <c r="J425" s="34" t="n">
        <f aca="false">IF(Journal!$D423=$B$3,J424+1,J424)</f>
        <v>1</v>
      </c>
    </row>
    <row r="426" customFormat="false" ht="15" hidden="false" customHeight="false" outlineLevel="0" collapsed="false">
      <c r="J426" s="34" t="n">
        <f aca="false">IF(Journal!$D424=$B$3,J425+1,J425)</f>
        <v>1</v>
      </c>
    </row>
    <row r="427" customFormat="false" ht="15" hidden="false" customHeight="false" outlineLevel="0" collapsed="false">
      <c r="J427" s="34" t="n">
        <f aca="false">IF(Journal!$D425=$B$3,J426+1,J426)</f>
        <v>1</v>
      </c>
    </row>
    <row r="428" customFormat="false" ht="15" hidden="false" customHeight="false" outlineLevel="0" collapsed="false">
      <c r="J428" s="34" t="n">
        <f aca="false">IF(Journal!$D426=$B$3,J427+1,J427)</f>
        <v>1</v>
      </c>
    </row>
    <row r="429" customFormat="false" ht="15" hidden="false" customHeight="false" outlineLevel="0" collapsed="false">
      <c r="J429" s="34" t="n">
        <f aca="false">IF(Journal!$D427=$B$3,J428+1,J428)</f>
        <v>1</v>
      </c>
    </row>
    <row r="430" customFormat="false" ht="15" hidden="false" customHeight="false" outlineLevel="0" collapsed="false">
      <c r="J430" s="34" t="n">
        <f aca="false">IF(Journal!$D428=$B$3,J429+1,J429)</f>
        <v>1</v>
      </c>
    </row>
    <row r="431" customFormat="false" ht="15" hidden="false" customHeight="false" outlineLevel="0" collapsed="false">
      <c r="J431" s="34" t="n">
        <f aca="false">IF(Journal!$D429=$B$3,J430+1,J430)</f>
        <v>1</v>
      </c>
    </row>
    <row r="432" customFormat="false" ht="15" hidden="false" customHeight="false" outlineLevel="0" collapsed="false">
      <c r="J432" s="34" t="n">
        <f aca="false">IF(Journal!$D430=$B$3,J431+1,J431)</f>
        <v>1</v>
      </c>
    </row>
    <row r="433" customFormat="false" ht="15" hidden="false" customHeight="false" outlineLevel="0" collapsed="false">
      <c r="J433" s="34" t="n">
        <f aca="false">IF(Journal!$D431=$B$3,J432+1,J432)</f>
        <v>1</v>
      </c>
    </row>
    <row r="434" customFormat="false" ht="15" hidden="false" customHeight="false" outlineLevel="0" collapsed="false">
      <c r="J434" s="34" t="n">
        <f aca="false">IF(Journal!$D432=$B$3,J433+1,J433)</f>
        <v>1</v>
      </c>
    </row>
    <row r="435" customFormat="false" ht="15" hidden="false" customHeight="false" outlineLevel="0" collapsed="false">
      <c r="J435" s="34" t="n">
        <f aca="false">IF(Journal!$D433=$B$3,J434+1,J434)</f>
        <v>1</v>
      </c>
    </row>
    <row r="436" customFormat="false" ht="15" hidden="false" customHeight="false" outlineLevel="0" collapsed="false">
      <c r="J436" s="34" t="n">
        <f aca="false">IF(Journal!$D434=$B$3,J435+1,J435)</f>
        <v>1</v>
      </c>
    </row>
    <row r="437" customFormat="false" ht="15" hidden="false" customHeight="false" outlineLevel="0" collapsed="false">
      <c r="J437" s="34" t="n">
        <f aca="false">IF(Journal!$D435=$B$3,J436+1,J436)</f>
        <v>1</v>
      </c>
    </row>
    <row r="438" customFormat="false" ht="15" hidden="false" customHeight="false" outlineLevel="0" collapsed="false">
      <c r="J438" s="34" t="n">
        <f aca="false">IF(Journal!$D436=$B$3,J437+1,J437)</f>
        <v>1</v>
      </c>
    </row>
    <row r="439" customFormat="false" ht="15" hidden="false" customHeight="false" outlineLevel="0" collapsed="false">
      <c r="J439" s="34" t="n">
        <f aca="false">IF(Journal!$D437=$B$3,J438+1,J438)</f>
        <v>1</v>
      </c>
    </row>
    <row r="440" customFormat="false" ht="15" hidden="false" customHeight="false" outlineLevel="0" collapsed="false">
      <c r="J440" s="34" t="n">
        <f aca="false">IF(Journal!$D438=$B$3,J439+1,J439)</f>
        <v>1</v>
      </c>
    </row>
    <row r="441" customFormat="false" ht="15" hidden="false" customHeight="false" outlineLevel="0" collapsed="false">
      <c r="J441" s="34" t="n">
        <f aca="false">IF(Journal!$D439=$B$3,J440+1,J440)</f>
        <v>1</v>
      </c>
    </row>
    <row r="442" customFormat="false" ht="15" hidden="false" customHeight="false" outlineLevel="0" collapsed="false">
      <c r="J442" s="34" t="n">
        <f aca="false">IF(Journal!$D440=$B$3,J441+1,J441)</f>
        <v>1</v>
      </c>
    </row>
    <row r="443" customFormat="false" ht="15" hidden="false" customHeight="false" outlineLevel="0" collapsed="false">
      <c r="J443" s="34" t="n">
        <f aca="false">IF(Journal!$D441=$B$3,J442+1,J442)</f>
        <v>1</v>
      </c>
    </row>
    <row r="444" customFormat="false" ht="15" hidden="false" customHeight="false" outlineLevel="0" collapsed="false">
      <c r="J444" s="34" t="n">
        <f aca="false">IF(Journal!$D442=$B$3,J443+1,J443)</f>
        <v>1</v>
      </c>
    </row>
    <row r="445" customFormat="false" ht="15" hidden="false" customHeight="false" outlineLevel="0" collapsed="false">
      <c r="J445" s="34" t="n">
        <f aca="false">IF(Journal!$D443=$B$3,J444+1,J444)</f>
        <v>1</v>
      </c>
    </row>
    <row r="446" customFormat="false" ht="15" hidden="false" customHeight="false" outlineLevel="0" collapsed="false">
      <c r="J446" s="34" t="n">
        <f aca="false">IF(Journal!$D444=$B$3,J445+1,J445)</f>
        <v>1</v>
      </c>
    </row>
    <row r="447" customFormat="false" ht="15" hidden="false" customHeight="false" outlineLevel="0" collapsed="false">
      <c r="J447" s="34" t="n">
        <f aca="false">IF(Journal!$D445=$B$3,J446+1,J446)</f>
        <v>1</v>
      </c>
    </row>
    <row r="448" customFormat="false" ht="15" hidden="false" customHeight="false" outlineLevel="0" collapsed="false">
      <c r="J448" s="34" t="n">
        <f aca="false">IF(Journal!$D446=$B$3,J447+1,J447)</f>
        <v>1</v>
      </c>
    </row>
    <row r="449" customFormat="false" ht="15" hidden="false" customHeight="false" outlineLevel="0" collapsed="false">
      <c r="J449" s="34" t="n">
        <f aca="false">IF(Journal!$D447=$B$3,J448+1,J448)</f>
        <v>1</v>
      </c>
    </row>
    <row r="450" customFormat="false" ht="15" hidden="false" customHeight="false" outlineLevel="0" collapsed="false">
      <c r="J450" s="34" t="n">
        <f aca="false">IF(Journal!$D448=$B$3,J449+1,J449)</f>
        <v>1</v>
      </c>
    </row>
    <row r="451" customFormat="false" ht="15" hidden="false" customHeight="false" outlineLevel="0" collapsed="false">
      <c r="J451" s="34" t="n">
        <f aca="false">IF(Journal!$D449=$B$3,J450+1,J450)</f>
        <v>1</v>
      </c>
    </row>
    <row r="452" customFormat="false" ht="15" hidden="false" customHeight="false" outlineLevel="0" collapsed="false">
      <c r="J452" s="34" t="n">
        <f aca="false">IF(Journal!$D450=$B$3,J451+1,J451)</f>
        <v>1</v>
      </c>
    </row>
    <row r="453" customFormat="false" ht="15" hidden="false" customHeight="false" outlineLevel="0" collapsed="false">
      <c r="J453" s="34" t="n">
        <f aca="false">IF(Journal!$D451=$B$3,J452+1,J452)</f>
        <v>1</v>
      </c>
    </row>
    <row r="454" customFormat="false" ht="15" hidden="false" customHeight="false" outlineLevel="0" collapsed="false">
      <c r="J454" s="34" t="n">
        <f aca="false">IF(Journal!$D452=$B$3,J453+1,J453)</f>
        <v>1</v>
      </c>
    </row>
    <row r="455" customFormat="false" ht="15" hidden="false" customHeight="false" outlineLevel="0" collapsed="false">
      <c r="J455" s="34" t="n">
        <f aca="false">IF(Journal!$D453=$B$3,J454+1,J454)</f>
        <v>1</v>
      </c>
    </row>
    <row r="456" customFormat="false" ht="15" hidden="false" customHeight="false" outlineLevel="0" collapsed="false">
      <c r="J456" s="34" t="n">
        <f aca="false">IF(Journal!$D454=$B$3,J455+1,J455)</f>
        <v>1</v>
      </c>
    </row>
    <row r="457" customFormat="false" ht="15" hidden="false" customHeight="false" outlineLevel="0" collapsed="false">
      <c r="J457" s="34" t="n">
        <f aca="false">IF(Journal!$D455=$B$3,J456+1,J456)</f>
        <v>1</v>
      </c>
    </row>
    <row r="458" customFormat="false" ht="15" hidden="false" customHeight="false" outlineLevel="0" collapsed="false">
      <c r="J458" s="34" t="n">
        <f aca="false">IF(Journal!$D456=$B$3,J457+1,J457)</f>
        <v>1</v>
      </c>
    </row>
    <row r="459" customFormat="false" ht="15" hidden="false" customHeight="false" outlineLevel="0" collapsed="false">
      <c r="J459" s="34" t="n">
        <f aca="false">IF(Journal!$D457=$B$3,J458+1,J458)</f>
        <v>1</v>
      </c>
    </row>
    <row r="460" customFormat="false" ht="15" hidden="false" customHeight="false" outlineLevel="0" collapsed="false">
      <c r="J460" s="34" t="n">
        <f aca="false">IF(Journal!$D458=$B$3,J459+1,J459)</f>
        <v>1</v>
      </c>
    </row>
    <row r="461" customFormat="false" ht="15" hidden="false" customHeight="false" outlineLevel="0" collapsed="false">
      <c r="J461" s="34" t="n">
        <f aca="false">IF(Journal!$D459=$B$3,J460+1,J460)</f>
        <v>1</v>
      </c>
    </row>
    <row r="462" customFormat="false" ht="15" hidden="false" customHeight="false" outlineLevel="0" collapsed="false">
      <c r="J462" s="34" t="n">
        <f aca="false">IF(Journal!$D460=$B$3,J461+1,J461)</f>
        <v>1</v>
      </c>
    </row>
    <row r="463" customFormat="false" ht="15" hidden="false" customHeight="false" outlineLevel="0" collapsed="false">
      <c r="J463" s="34" t="n">
        <f aca="false">IF(Journal!$D461=$B$3,J462+1,J462)</f>
        <v>1</v>
      </c>
    </row>
    <row r="464" customFormat="false" ht="15" hidden="false" customHeight="false" outlineLevel="0" collapsed="false">
      <c r="J464" s="34" t="n">
        <f aca="false">IF(Journal!$D462=$B$3,J463+1,J463)</f>
        <v>1</v>
      </c>
    </row>
    <row r="465" customFormat="false" ht="15" hidden="false" customHeight="false" outlineLevel="0" collapsed="false">
      <c r="J465" s="34" t="n">
        <f aca="false">IF(Journal!$D463=$B$3,J464+1,J464)</f>
        <v>1</v>
      </c>
    </row>
    <row r="466" customFormat="false" ht="15" hidden="false" customHeight="false" outlineLevel="0" collapsed="false">
      <c r="J466" s="34" t="n">
        <f aca="false">IF(Journal!$D464=$B$3,J465+1,J465)</f>
        <v>1</v>
      </c>
    </row>
    <row r="467" customFormat="false" ht="15" hidden="false" customHeight="false" outlineLevel="0" collapsed="false">
      <c r="J467" s="34" t="n">
        <f aca="false">IF(Journal!$D465=$B$3,J466+1,J466)</f>
        <v>1</v>
      </c>
    </row>
    <row r="468" customFormat="false" ht="15" hidden="false" customHeight="false" outlineLevel="0" collapsed="false">
      <c r="J468" s="34" t="n">
        <f aca="false">IF(Journal!$D466=$B$3,J467+1,J467)</f>
        <v>1</v>
      </c>
    </row>
    <row r="469" customFormat="false" ht="15" hidden="false" customHeight="false" outlineLevel="0" collapsed="false">
      <c r="J469" s="34" t="n">
        <f aca="false">IF(Journal!$D467=$B$3,J468+1,J468)</f>
        <v>1</v>
      </c>
    </row>
    <row r="470" customFormat="false" ht="15" hidden="false" customHeight="false" outlineLevel="0" collapsed="false">
      <c r="J470" s="34" t="n">
        <f aca="false">IF(Journal!$D468=$B$3,J469+1,J469)</f>
        <v>1</v>
      </c>
    </row>
    <row r="471" customFormat="false" ht="15" hidden="false" customHeight="false" outlineLevel="0" collapsed="false">
      <c r="J471" s="34" t="n">
        <f aca="false">IF(Journal!$D469=$B$3,J470+1,J470)</f>
        <v>1</v>
      </c>
    </row>
    <row r="472" customFormat="false" ht="15" hidden="false" customHeight="false" outlineLevel="0" collapsed="false">
      <c r="J472" s="34" t="n">
        <f aca="false">IF(Journal!$D470=$B$3,J471+1,J471)</f>
        <v>1</v>
      </c>
    </row>
    <row r="473" customFormat="false" ht="15" hidden="false" customHeight="false" outlineLevel="0" collapsed="false">
      <c r="J473" s="34" t="n">
        <f aca="false">IF(Journal!$D471=$B$3,J472+1,J472)</f>
        <v>1</v>
      </c>
    </row>
    <row r="474" customFormat="false" ht="15" hidden="false" customHeight="false" outlineLevel="0" collapsed="false">
      <c r="J474" s="34" t="n">
        <f aca="false">IF(Journal!$D472=$B$3,J473+1,J473)</f>
        <v>1</v>
      </c>
    </row>
    <row r="475" customFormat="false" ht="15" hidden="false" customHeight="false" outlineLevel="0" collapsed="false">
      <c r="J475" s="34" t="n">
        <f aca="false">IF(Journal!$D473=$B$3,J474+1,J474)</f>
        <v>1</v>
      </c>
    </row>
    <row r="476" customFormat="false" ht="15" hidden="false" customHeight="false" outlineLevel="0" collapsed="false">
      <c r="J476" s="34" t="n">
        <f aca="false">IF(Journal!$D474=$B$3,J475+1,J475)</f>
        <v>1</v>
      </c>
    </row>
    <row r="477" customFormat="false" ht="15" hidden="false" customHeight="false" outlineLevel="0" collapsed="false">
      <c r="J477" s="34" t="n">
        <f aca="false">IF(Journal!$D475=$B$3,J476+1,J476)</f>
        <v>1</v>
      </c>
    </row>
    <row r="478" customFormat="false" ht="15" hidden="false" customHeight="false" outlineLevel="0" collapsed="false">
      <c r="J478" s="34" t="n">
        <f aca="false">IF(Journal!$D476=$B$3,J477+1,J477)</f>
        <v>1</v>
      </c>
    </row>
    <row r="479" customFormat="false" ht="15" hidden="false" customHeight="false" outlineLevel="0" collapsed="false">
      <c r="J479" s="34" t="n">
        <f aca="false">IF(Journal!$D477=$B$3,J478+1,J478)</f>
        <v>1</v>
      </c>
    </row>
    <row r="480" customFormat="false" ht="15" hidden="false" customHeight="false" outlineLevel="0" collapsed="false">
      <c r="J480" s="34" t="n">
        <f aca="false">IF(Journal!$D478=$B$3,J479+1,J479)</f>
        <v>1</v>
      </c>
    </row>
    <row r="481" customFormat="false" ht="15" hidden="false" customHeight="false" outlineLevel="0" collapsed="false">
      <c r="J481" s="34" t="n">
        <f aca="false">IF(Journal!$D479=$B$3,J480+1,J480)</f>
        <v>1</v>
      </c>
    </row>
    <row r="482" customFormat="false" ht="15" hidden="false" customHeight="false" outlineLevel="0" collapsed="false">
      <c r="J482" s="34" t="n">
        <f aca="false">IF(Journal!$D480=$B$3,J481+1,J481)</f>
        <v>1</v>
      </c>
    </row>
    <row r="483" customFormat="false" ht="15" hidden="false" customHeight="false" outlineLevel="0" collapsed="false">
      <c r="J483" s="34" t="n">
        <f aca="false">IF(Journal!$D481=$B$3,J482+1,J482)</f>
        <v>1</v>
      </c>
    </row>
    <row r="484" customFormat="false" ht="15" hidden="false" customHeight="false" outlineLevel="0" collapsed="false">
      <c r="J484" s="34" t="n">
        <f aca="false">IF(Journal!$D482=$B$3,J483+1,J483)</f>
        <v>1</v>
      </c>
    </row>
    <row r="485" customFormat="false" ht="15" hidden="false" customHeight="false" outlineLevel="0" collapsed="false">
      <c r="J485" s="34" t="n">
        <f aca="false">IF(Journal!$D483=$B$3,J484+1,J484)</f>
        <v>1</v>
      </c>
    </row>
    <row r="486" customFormat="false" ht="15" hidden="false" customHeight="false" outlineLevel="0" collapsed="false">
      <c r="J486" s="34" t="n">
        <f aca="false">IF(Journal!$D484=$B$3,J485+1,J485)</f>
        <v>1</v>
      </c>
    </row>
    <row r="487" customFormat="false" ht="15" hidden="false" customHeight="false" outlineLevel="0" collapsed="false">
      <c r="J487" s="34" t="n">
        <f aca="false">IF(Journal!$D485=$B$3,J486+1,J486)</f>
        <v>1</v>
      </c>
    </row>
    <row r="488" customFormat="false" ht="15" hidden="false" customHeight="false" outlineLevel="0" collapsed="false">
      <c r="J488" s="34" t="n">
        <f aca="false">IF(Journal!$D486=$B$3,J487+1,J487)</f>
        <v>1</v>
      </c>
    </row>
    <row r="489" customFormat="false" ht="15" hidden="false" customHeight="false" outlineLevel="0" collapsed="false">
      <c r="J489" s="34" t="n">
        <f aca="false">IF(Journal!$D487=$B$3,J488+1,J488)</f>
        <v>1</v>
      </c>
    </row>
    <row r="490" customFormat="false" ht="15" hidden="false" customHeight="false" outlineLevel="0" collapsed="false">
      <c r="J490" s="34" t="n">
        <f aca="false">IF(Journal!$D488=$B$3,J489+1,J489)</f>
        <v>1</v>
      </c>
    </row>
    <row r="491" customFormat="false" ht="15" hidden="false" customHeight="false" outlineLevel="0" collapsed="false">
      <c r="J491" s="34" t="n">
        <f aca="false">IF(Journal!$D489=$B$3,J490+1,J490)</f>
        <v>1</v>
      </c>
    </row>
    <row r="492" customFormat="false" ht="15" hidden="false" customHeight="false" outlineLevel="0" collapsed="false">
      <c r="J492" s="34" t="n">
        <f aca="false">IF(Journal!$D490=$B$3,J491+1,J491)</f>
        <v>1</v>
      </c>
    </row>
    <row r="493" customFormat="false" ht="15" hidden="false" customHeight="false" outlineLevel="0" collapsed="false">
      <c r="J493" s="34" t="n">
        <f aca="false">IF(Journal!$D491=$B$3,J492+1,J492)</f>
        <v>1</v>
      </c>
    </row>
    <row r="494" customFormat="false" ht="15" hidden="false" customHeight="false" outlineLevel="0" collapsed="false">
      <c r="J494" s="34" t="n">
        <f aca="false">IF(Journal!$D492=$B$3,J493+1,J493)</f>
        <v>1</v>
      </c>
    </row>
    <row r="495" customFormat="false" ht="15" hidden="false" customHeight="false" outlineLevel="0" collapsed="false">
      <c r="J495" s="34" t="n">
        <f aca="false">IF(Journal!$D493=$B$3,J494+1,J494)</f>
        <v>1</v>
      </c>
    </row>
    <row r="496" customFormat="false" ht="15" hidden="false" customHeight="false" outlineLevel="0" collapsed="false">
      <c r="J496" s="34" t="n">
        <f aca="false">IF(Journal!$D494=$B$3,J495+1,J495)</f>
        <v>1</v>
      </c>
    </row>
    <row r="497" customFormat="false" ht="15" hidden="false" customHeight="false" outlineLevel="0" collapsed="false">
      <c r="J497" s="34" t="n">
        <f aca="false">IF(Journal!$D495=$B$3,J496+1,J496)</f>
        <v>1</v>
      </c>
    </row>
    <row r="498" customFormat="false" ht="15" hidden="false" customHeight="false" outlineLevel="0" collapsed="false">
      <c r="J498" s="34" t="n">
        <f aca="false">IF(Journal!$D496=$B$3,J497+1,J497)</f>
        <v>1</v>
      </c>
    </row>
    <row r="499" customFormat="false" ht="15" hidden="false" customHeight="false" outlineLevel="0" collapsed="false">
      <c r="J499" s="34" t="n">
        <f aca="false">IF(Journal!$D497=$B$3,J498+1,J498)</f>
        <v>1</v>
      </c>
    </row>
    <row r="500" customFormat="false" ht="15" hidden="false" customHeight="false" outlineLevel="0" collapsed="false">
      <c r="J500" s="34" t="n">
        <f aca="false">IF(Journal!$D498=$B$3,J499+1,J499)</f>
        <v>1</v>
      </c>
    </row>
    <row r="501" customFormat="false" ht="15" hidden="false" customHeight="false" outlineLevel="0" collapsed="false">
      <c r="J501" s="34" t="n">
        <f aca="false">IF(Journal!$D499=$B$3,J500+1,J500)</f>
        <v>1</v>
      </c>
    </row>
    <row r="502" customFormat="false" ht="15" hidden="false" customHeight="false" outlineLevel="0" collapsed="false">
      <c r="J502" s="34" t="n">
        <f aca="false">IF(Journal!$D500=$B$3,J501+1,J501)</f>
        <v>1</v>
      </c>
    </row>
    <row r="503" customFormat="false" ht="15" hidden="false" customHeight="false" outlineLevel="0" collapsed="false">
      <c r="J503" s="34" t="n">
        <f aca="false">IF(Journal!$D501=$B$3,J502+1,J502)</f>
        <v>1</v>
      </c>
    </row>
    <row r="504" customFormat="false" ht="15" hidden="false" customHeight="false" outlineLevel="0" collapsed="false">
      <c r="J504" s="34" t="n">
        <f aca="false">IF(Journal!$D502=$B$3,J503+1,J503)</f>
        <v>1</v>
      </c>
    </row>
    <row r="505" customFormat="false" ht="15" hidden="false" customHeight="false" outlineLevel="0" collapsed="false">
      <c r="J505" s="34" t="n">
        <f aca="false">IF(Journal!$D503=$B$3,J504+1,J504)</f>
        <v>1</v>
      </c>
    </row>
  </sheetData>
  <mergeCells count="3">
    <mergeCell ref="A1:G1"/>
    <mergeCell ref="A2:G2"/>
    <mergeCell ref="C3:G3"/>
  </mergeCells>
  <dataValidations count="1">
    <dataValidation allowBlank="true" errorStyle="stop" operator="between" showDropDown="false" showErrorMessage="false" showInputMessage="false" sqref="B3" type="list">
      <formula1>Comptes!$A$4:$A$50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7" min="4" style="0" width="16"/>
    <col collapsed="false" customWidth="true" hidden="true" outlineLevel="0" max="8" min="8" style="0" width="13"/>
  </cols>
  <sheetData>
    <row r="1" customFormat="false" ht="30" hidden="false" customHeight="true" outlineLevel="0" collapsed="false">
      <c r="A1" s="1" t="s">
        <v>254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255</v>
      </c>
      <c r="B2" s="2"/>
      <c r="C2" s="2"/>
      <c r="D2" s="2"/>
      <c r="E2" s="2"/>
      <c r="F2" s="2"/>
      <c r="G2" s="2"/>
    </row>
    <row r="3" customFormat="false" ht="30" hidden="false" customHeight="true" outlineLevel="0" collapsed="false">
      <c r="A3" s="11" t="s">
        <v>256</v>
      </c>
      <c r="B3" s="11" t="s">
        <v>257</v>
      </c>
      <c r="C3" s="11" t="s">
        <v>258</v>
      </c>
      <c r="D3" s="11" t="s">
        <v>248</v>
      </c>
      <c r="E3" s="11" t="s">
        <v>249</v>
      </c>
      <c r="F3" s="11" t="s">
        <v>259</v>
      </c>
      <c r="G3" s="11" t="s">
        <v>260</v>
      </c>
    </row>
    <row r="4" customFormat="false" ht="15" hidden="false" customHeight="false" outlineLevel="0" collapsed="false">
      <c r="A4" s="35" t="str">
        <f aca="false">Comptes!A4</f>
        <v>101</v>
      </c>
      <c r="B4" s="22" t="str">
        <f aca="false">Comptes!B4</f>
        <v>Capital emis</v>
      </c>
      <c r="C4" s="35" t="n">
        <f aca="false">Comptes!D4</f>
        <v>1</v>
      </c>
      <c r="D4" s="32" t="n">
        <f aca="false">SUMIF(Journal!$D$4:$D$503,$A4,Journal!$H$4:$H$503)</f>
        <v>0</v>
      </c>
      <c r="E4" s="32" t="n">
        <f aca="false">SUMIF(Journal!$D$4:$D$503,$A4,Journal!$I$4:$I$503)</f>
        <v>0</v>
      </c>
      <c r="F4" s="32" t="n">
        <f aca="false">IF(D4-E4&gt;0,D4-E4,0)</f>
        <v>0</v>
      </c>
      <c r="G4" s="32" t="n">
        <f aca="false">IF(E4-D4&gt;0,E4-D4,0)</f>
        <v>0</v>
      </c>
      <c r="H4" s="32" t="n">
        <f aca="false">D4-E4</f>
        <v>0</v>
      </c>
    </row>
    <row r="5" customFormat="false" ht="15" hidden="false" customHeight="false" outlineLevel="0" collapsed="false">
      <c r="A5" s="35" t="str">
        <f aca="false">Comptes!A5</f>
        <v>106</v>
      </c>
      <c r="B5" s="22" t="str">
        <f aca="false">Comptes!B5</f>
        <v>Reserves</v>
      </c>
      <c r="C5" s="35" t="n">
        <f aca="false">Comptes!D5</f>
        <v>1</v>
      </c>
      <c r="D5" s="32" t="n">
        <f aca="false">SUMIF(Journal!$D$4:$D$503,$A5,Journal!$H$4:$H$503)</f>
        <v>0</v>
      </c>
      <c r="E5" s="32" t="n">
        <f aca="false">SUMIF(Journal!$D$4:$D$503,$A5,Journal!$I$4:$I$503)</f>
        <v>0</v>
      </c>
      <c r="F5" s="32" t="n">
        <f aca="false">IF(D5-E5&gt;0,D5-E5,0)</f>
        <v>0</v>
      </c>
      <c r="G5" s="32" t="n">
        <f aca="false">IF(E5-D5&gt;0,E5-D5,0)</f>
        <v>0</v>
      </c>
      <c r="H5" s="32" t="n">
        <f aca="false">D5-E5</f>
        <v>0</v>
      </c>
    </row>
    <row r="6" customFormat="false" ht="15" hidden="false" customHeight="false" outlineLevel="0" collapsed="false">
      <c r="A6" s="35" t="str">
        <f aca="false">Comptes!A6</f>
        <v>110</v>
      </c>
      <c r="B6" s="22" t="str">
        <f aca="false">Comptes!B6</f>
        <v>Report a nouveau</v>
      </c>
      <c r="C6" s="35" t="n">
        <f aca="false">Comptes!D6</f>
        <v>1</v>
      </c>
      <c r="D6" s="32" t="n">
        <f aca="false">SUMIF(Journal!$D$4:$D$503,$A6,Journal!$H$4:$H$503)</f>
        <v>0</v>
      </c>
      <c r="E6" s="32" t="n">
        <f aca="false">SUMIF(Journal!$D$4:$D$503,$A6,Journal!$I$4:$I$503)</f>
        <v>0</v>
      </c>
      <c r="F6" s="32" t="n">
        <f aca="false">IF(D6-E6&gt;0,D6-E6,0)</f>
        <v>0</v>
      </c>
      <c r="G6" s="32" t="n">
        <f aca="false">IF(E6-D6&gt;0,E6-D6,0)</f>
        <v>0</v>
      </c>
      <c r="H6" s="32" t="n">
        <f aca="false">D6-E6</f>
        <v>0</v>
      </c>
    </row>
    <row r="7" customFormat="false" ht="15" hidden="false" customHeight="false" outlineLevel="0" collapsed="false">
      <c r="A7" s="35" t="str">
        <f aca="false">Comptes!A7</f>
        <v>164</v>
      </c>
      <c r="B7" s="22" t="str">
        <f aca="false">Comptes!B7</f>
        <v>Emprunts aupres des etablissements de credit</v>
      </c>
      <c r="C7" s="35" t="n">
        <f aca="false">Comptes!D7</f>
        <v>1</v>
      </c>
      <c r="D7" s="32" t="n">
        <f aca="false">SUMIF(Journal!$D$4:$D$503,$A7,Journal!$H$4:$H$503)</f>
        <v>0</v>
      </c>
      <c r="E7" s="32" t="n">
        <f aca="false">SUMIF(Journal!$D$4:$D$503,$A7,Journal!$I$4:$I$503)</f>
        <v>0</v>
      </c>
      <c r="F7" s="32" t="n">
        <f aca="false">IF(D7-E7&gt;0,D7-E7,0)</f>
        <v>0</v>
      </c>
      <c r="G7" s="32" t="n">
        <f aca="false">IF(E7-D7&gt;0,E7-D7,0)</f>
        <v>0</v>
      </c>
      <c r="H7" s="32" t="n">
        <f aca="false">D7-E7</f>
        <v>0</v>
      </c>
    </row>
    <row r="8" customFormat="false" ht="15" hidden="false" customHeight="false" outlineLevel="0" collapsed="false">
      <c r="A8" s="35" t="str">
        <f aca="false">Comptes!A8</f>
        <v>211</v>
      </c>
      <c r="B8" s="22" t="str">
        <f aca="false">Comptes!B8</f>
        <v>Terrains</v>
      </c>
      <c r="C8" s="35" t="n">
        <f aca="false">Comptes!D8</f>
        <v>2</v>
      </c>
      <c r="D8" s="32" t="n">
        <f aca="false">SUMIF(Journal!$D$4:$D$503,$A8,Journal!$H$4:$H$503)</f>
        <v>0</v>
      </c>
      <c r="E8" s="32" t="n">
        <f aca="false">SUMIF(Journal!$D$4:$D$503,$A8,Journal!$I$4:$I$503)</f>
        <v>0</v>
      </c>
      <c r="F8" s="32" t="n">
        <f aca="false">IF(D8-E8&gt;0,D8-E8,0)</f>
        <v>0</v>
      </c>
      <c r="G8" s="32" t="n">
        <f aca="false">IF(E8-D8&gt;0,E8-D8,0)</f>
        <v>0</v>
      </c>
      <c r="H8" s="32" t="n">
        <f aca="false">D8-E8</f>
        <v>0</v>
      </c>
    </row>
    <row r="9" customFormat="false" ht="15" hidden="false" customHeight="false" outlineLevel="0" collapsed="false">
      <c r="A9" s="35" t="str">
        <f aca="false">Comptes!A9</f>
        <v>213</v>
      </c>
      <c r="B9" s="22" t="str">
        <f aca="false">Comptes!B9</f>
        <v>Constructions</v>
      </c>
      <c r="C9" s="35" t="n">
        <f aca="false">Comptes!D9</f>
        <v>2</v>
      </c>
      <c r="D9" s="32" t="n">
        <f aca="false">SUMIF(Journal!$D$4:$D$503,$A9,Journal!$H$4:$H$503)</f>
        <v>0</v>
      </c>
      <c r="E9" s="32" t="n">
        <f aca="false">SUMIF(Journal!$D$4:$D$503,$A9,Journal!$I$4:$I$503)</f>
        <v>0</v>
      </c>
      <c r="F9" s="32" t="n">
        <f aca="false">IF(D9-E9&gt;0,D9-E9,0)</f>
        <v>0</v>
      </c>
      <c r="G9" s="32" t="n">
        <f aca="false">IF(E9-D9&gt;0,E9-D9,0)</f>
        <v>0</v>
      </c>
      <c r="H9" s="32" t="n">
        <f aca="false">D9-E9</f>
        <v>0</v>
      </c>
    </row>
    <row r="10" customFormat="false" ht="15" hidden="false" customHeight="false" outlineLevel="0" collapsed="false">
      <c r="A10" s="35" t="str">
        <f aca="false">Comptes!A10</f>
        <v>215</v>
      </c>
      <c r="B10" s="22" t="str">
        <f aca="false">Comptes!B10</f>
        <v>Installations techniques, materiel et outillage</v>
      </c>
      <c r="C10" s="35" t="n">
        <f aca="false">Comptes!D10</f>
        <v>2</v>
      </c>
      <c r="D10" s="32" t="n">
        <f aca="false">SUMIF(Journal!$D$4:$D$503,$A10,Journal!$H$4:$H$503)</f>
        <v>0</v>
      </c>
      <c r="E10" s="32" t="n">
        <f aca="false">SUMIF(Journal!$D$4:$D$503,$A10,Journal!$I$4:$I$503)</f>
        <v>0</v>
      </c>
      <c r="F10" s="32" t="n">
        <f aca="false">IF(D10-E10&gt;0,D10-E10,0)</f>
        <v>0</v>
      </c>
      <c r="G10" s="32" t="n">
        <f aca="false">IF(E10-D10&gt;0,E10-D10,0)</f>
        <v>0</v>
      </c>
      <c r="H10" s="32" t="n">
        <f aca="false">D10-E10</f>
        <v>0</v>
      </c>
    </row>
    <row r="11" customFormat="false" ht="15" hidden="false" customHeight="false" outlineLevel="0" collapsed="false">
      <c r="A11" s="35" t="str">
        <f aca="false">Comptes!A11</f>
        <v>218</v>
      </c>
      <c r="B11" s="22" t="str">
        <f aca="false">Comptes!B11</f>
        <v>Autres immobilisations corporelles</v>
      </c>
      <c r="C11" s="35" t="n">
        <f aca="false">Comptes!D11</f>
        <v>2</v>
      </c>
      <c r="D11" s="32" t="n">
        <f aca="false">SUMIF(Journal!$D$4:$D$503,$A11,Journal!$H$4:$H$503)</f>
        <v>0</v>
      </c>
      <c r="E11" s="32" t="n">
        <f aca="false">SUMIF(Journal!$D$4:$D$503,$A11,Journal!$I$4:$I$503)</f>
        <v>0</v>
      </c>
      <c r="F11" s="32" t="n">
        <f aca="false">IF(D11-E11&gt;0,D11-E11,0)</f>
        <v>0</v>
      </c>
      <c r="G11" s="32" t="n">
        <f aca="false">IF(E11-D11&gt;0,E11-D11,0)</f>
        <v>0</v>
      </c>
      <c r="H11" s="32" t="n">
        <f aca="false">D11-E11</f>
        <v>0</v>
      </c>
    </row>
    <row r="12" customFormat="false" ht="15" hidden="false" customHeight="false" outlineLevel="0" collapsed="false">
      <c r="A12" s="35" t="str">
        <f aca="false">Comptes!A12</f>
        <v>281</v>
      </c>
      <c r="B12" s="22" t="str">
        <f aca="false">Comptes!B12</f>
        <v>Amortissements des immobilisations corporelles</v>
      </c>
      <c r="C12" s="35" t="n">
        <f aca="false">Comptes!D12</f>
        <v>2</v>
      </c>
      <c r="D12" s="32" t="n">
        <f aca="false">SUMIF(Journal!$D$4:$D$503,$A12,Journal!$H$4:$H$503)</f>
        <v>0</v>
      </c>
      <c r="E12" s="32" t="n">
        <f aca="false">SUMIF(Journal!$D$4:$D$503,$A12,Journal!$I$4:$I$503)</f>
        <v>0</v>
      </c>
      <c r="F12" s="32" t="n">
        <f aca="false">IF(D12-E12&gt;0,D12-E12,0)</f>
        <v>0</v>
      </c>
      <c r="G12" s="32" t="n">
        <f aca="false">IF(E12-D12&gt;0,E12-D12,0)</f>
        <v>0</v>
      </c>
      <c r="H12" s="32" t="n">
        <f aca="false">D12-E12</f>
        <v>0</v>
      </c>
    </row>
    <row r="13" customFormat="false" ht="15" hidden="false" customHeight="false" outlineLevel="0" collapsed="false">
      <c r="A13" s="35" t="str">
        <f aca="false">Comptes!A13</f>
        <v>30</v>
      </c>
      <c r="B13" s="22" t="str">
        <f aca="false">Comptes!B13</f>
        <v>Stocks de marchandises</v>
      </c>
      <c r="C13" s="35" t="n">
        <f aca="false">Comptes!D13</f>
        <v>3</v>
      </c>
      <c r="D13" s="32" t="n">
        <f aca="false">SUMIF(Journal!$D$4:$D$503,$A13,Journal!$H$4:$H$503)</f>
        <v>0</v>
      </c>
      <c r="E13" s="32" t="n">
        <f aca="false">SUMIF(Journal!$D$4:$D$503,$A13,Journal!$I$4:$I$503)</f>
        <v>0</v>
      </c>
      <c r="F13" s="32" t="n">
        <f aca="false">IF(D13-E13&gt;0,D13-E13,0)</f>
        <v>0</v>
      </c>
      <c r="G13" s="32" t="n">
        <f aca="false">IF(E13-D13&gt;0,E13-D13,0)</f>
        <v>0</v>
      </c>
      <c r="H13" s="32" t="n">
        <f aca="false">D13-E13</f>
        <v>0</v>
      </c>
    </row>
    <row r="14" customFormat="false" ht="15" hidden="false" customHeight="false" outlineLevel="0" collapsed="false">
      <c r="A14" s="35" t="str">
        <f aca="false">Comptes!A14</f>
        <v>31</v>
      </c>
      <c r="B14" s="22" t="str">
        <f aca="false">Comptes!B14</f>
        <v>Matieres premieres et fournitures</v>
      </c>
      <c r="C14" s="35" t="n">
        <f aca="false">Comptes!D14</f>
        <v>3</v>
      </c>
      <c r="D14" s="32" t="n">
        <f aca="false">SUMIF(Journal!$D$4:$D$503,$A14,Journal!$H$4:$H$503)</f>
        <v>0</v>
      </c>
      <c r="E14" s="32" t="n">
        <f aca="false">SUMIF(Journal!$D$4:$D$503,$A14,Journal!$I$4:$I$503)</f>
        <v>0</v>
      </c>
      <c r="F14" s="32" t="n">
        <f aca="false">IF(D14-E14&gt;0,D14-E14,0)</f>
        <v>0</v>
      </c>
      <c r="G14" s="32" t="n">
        <f aca="false">IF(E14-D14&gt;0,E14-D14,0)</f>
        <v>0</v>
      </c>
      <c r="H14" s="32" t="n">
        <f aca="false">D14-E14</f>
        <v>0</v>
      </c>
    </row>
    <row r="15" customFormat="false" ht="15" hidden="false" customHeight="false" outlineLevel="0" collapsed="false">
      <c r="A15" s="35" t="str">
        <f aca="false">Comptes!A15</f>
        <v>35</v>
      </c>
      <c r="B15" s="22" t="str">
        <f aca="false">Comptes!B15</f>
        <v>Stocks de produits finis</v>
      </c>
      <c r="C15" s="35" t="n">
        <f aca="false">Comptes!D15</f>
        <v>3</v>
      </c>
      <c r="D15" s="32" t="n">
        <f aca="false">SUMIF(Journal!$D$4:$D$503,$A15,Journal!$H$4:$H$503)</f>
        <v>0</v>
      </c>
      <c r="E15" s="32" t="n">
        <f aca="false">SUMIF(Journal!$D$4:$D$503,$A15,Journal!$I$4:$I$503)</f>
        <v>0</v>
      </c>
      <c r="F15" s="32" t="n">
        <f aca="false">IF(D15-E15&gt;0,D15-E15,0)</f>
        <v>0</v>
      </c>
      <c r="G15" s="32" t="n">
        <f aca="false">IF(E15-D15&gt;0,E15-D15,0)</f>
        <v>0</v>
      </c>
      <c r="H15" s="32" t="n">
        <f aca="false">D15-E15</f>
        <v>0</v>
      </c>
    </row>
    <row r="16" customFormat="false" ht="15" hidden="false" customHeight="false" outlineLevel="0" collapsed="false">
      <c r="A16" s="35" t="str">
        <f aca="false">Comptes!A16</f>
        <v>401</v>
      </c>
      <c r="B16" s="22" t="str">
        <f aca="false">Comptes!B16</f>
        <v>Fournisseurs de stocks et services</v>
      </c>
      <c r="C16" s="35" t="n">
        <f aca="false">Comptes!D16</f>
        <v>4</v>
      </c>
      <c r="D16" s="32" t="n">
        <f aca="false">SUMIF(Journal!$D$4:$D$503,$A16,Journal!$H$4:$H$503)</f>
        <v>0</v>
      </c>
      <c r="E16" s="32" t="n">
        <f aca="false">SUMIF(Journal!$D$4:$D$503,$A16,Journal!$I$4:$I$503)</f>
        <v>59500</v>
      </c>
      <c r="F16" s="32" t="n">
        <f aca="false">IF(D16-E16&gt;0,D16-E16,0)</f>
        <v>0</v>
      </c>
      <c r="G16" s="32" t="n">
        <f aca="false">IF(E16-D16&gt;0,E16-D16,0)</f>
        <v>59500</v>
      </c>
      <c r="H16" s="32" t="n">
        <f aca="false">D16-E16</f>
        <v>-59500</v>
      </c>
    </row>
    <row r="17" customFormat="false" ht="15" hidden="false" customHeight="false" outlineLevel="0" collapsed="false">
      <c r="A17" s="35" t="str">
        <f aca="false">Comptes!A17</f>
        <v>404</v>
      </c>
      <c r="B17" s="22" t="str">
        <f aca="false">Comptes!B17</f>
        <v>Fournisseurs d immobilisations</v>
      </c>
      <c r="C17" s="35" t="n">
        <f aca="false">Comptes!D17</f>
        <v>4</v>
      </c>
      <c r="D17" s="32" t="n">
        <f aca="false">SUMIF(Journal!$D$4:$D$503,$A17,Journal!$H$4:$H$503)</f>
        <v>0</v>
      </c>
      <c r="E17" s="32" t="n">
        <f aca="false">SUMIF(Journal!$D$4:$D$503,$A17,Journal!$I$4:$I$503)</f>
        <v>0</v>
      </c>
      <c r="F17" s="32" t="n">
        <f aca="false">IF(D17-E17&gt;0,D17-E17,0)</f>
        <v>0</v>
      </c>
      <c r="G17" s="32" t="n">
        <f aca="false">IF(E17-D17&gt;0,E17-D17,0)</f>
        <v>0</v>
      </c>
      <c r="H17" s="32" t="n">
        <f aca="false">D17-E17</f>
        <v>0</v>
      </c>
    </row>
    <row r="18" customFormat="false" ht="15" hidden="false" customHeight="false" outlineLevel="0" collapsed="false">
      <c r="A18" s="35" t="str">
        <f aca="false">Comptes!A18</f>
        <v>411</v>
      </c>
      <c r="B18" s="22" t="str">
        <f aca="false">Comptes!B18</f>
        <v>Clients</v>
      </c>
      <c r="C18" s="35" t="n">
        <f aca="false">Comptes!D18</f>
        <v>4</v>
      </c>
      <c r="D18" s="32" t="n">
        <f aca="false">SUMIF(Journal!$D$4:$D$503,$A18,Journal!$H$4:$H$503)</f>
        <v>119000</v>
      </c>
      <c r="E18" s="32" t="n">
        <f aca="false">SUMIF(Journal!$D$4:$D$503,$A18,Journal!$I$4:$I$503)</f>
        <v>119000</v>
      </c>
      <c r="F18" s="32" t="n">
        <f aca="false">IF(D18-E18&gt;0,D18-E18,0)</f>
        <v>0</v>
      </c>
      <c r="G18" s="32" t="n">
        <f aca="false">IF(E18-D18&gt;0,E18-D18,0)</f>
        <v>0</v>
      </c>
      <c r="H18" s="32" t="n">
        <f aca="false">D18-E18</f>
        <v>0</v>
      </c>
    </row>
    <row r="19" customFormat="false" ht="15" hidden="false" customHeight="false" outlineLevel="0" collapsed="false">
      <c r="A19" s="35" t="str">
        <f aca="false">Comptes!A19</f>
        <v>419</v>
      </c>
      <c r="B19" s="22" t="str">
        <f aca="false">Comptes!B19</f>
        <v>Clients crediteurs, avances recues</v>
      </c>
      <c r="C19" s="35" t="n">
        <f aca="false">Comptes!D19</f>
        <v>4</v>
      </c>
      <c r="D19" s="32" t="n">
        <f aca="false">SUMIF(Journal!$D$4:$D$503,$A19,Journal!$H$4:$H$503)</f>
        <v>0</v>
      </c>
      <c r="E19" s="32" t="n">
        <f aca="false">SUMIF(Journal!$D$4:$D$503,$A19,Journal!$I$4:$I$503)</f>
        <v>0</v>
      </c>
      <c r="F19" s="32" t="n">
        <f aca="false">IF(D19-E19&gt;0,D19-E19,0)</f>
        <v>0</v>
      </c>
      <c r="G19" s="32" t="n">
        <f aca="false">IF(E19-D19&gt;0,E19-D19,0)</f>
        <v>0</v>
      </c>
      <c r="H19" s="32" t="n">
        <f aca="false">D19-E19</f>
        <v>0</v>
      </c>
    </row>
    <row r="20" customFormat="false" ht="15" hidden="false" customHeight="false" outlineLevel="0" collapsed="false">
      <c r="A20" s="35" t="str">
        <f aca="false">Comptes!A20</f>
        <v>421</v>
      </c>
      <c r="B20" s="22" t="str">
        <f aca="false">Comptes!B20</f>
        <v>Personnel, remunerations dues</v>
      </c>
      <c r="C20" s="35" t="n">
        <f aca="false">Comptes!D20</f>
        <v>4</v>
      </c>
      <c r="D20" s="32" t="n">
        <f aca="false">SUMIF(Journal!$D$4:$D$503,$A20,Journal!$H$4:$H$503)</f>
        <v>0</v>
      </c>
      <c r="E20" s="32" t="n">
        <f aca="false">SUMIF(Journal!$D$4:$D$503,$A20,Journal!$I$4:$I$503)</f>
        <v>40000</v>
      </c>
      <c r="F20" s="32" t="n">
        <f aca="false">IF(D20-E20&gt;0,D20-E20,0)</f>
        <v>0</v>
      </c>
      <c r="G20" s="32" t="n">
        <f aca="false">IF(E20-D20&gt;0,E20-D20,0)</f>
        <v>40000</v>
      </c>
      <c r="H20" s="32" t="n">
        <f aca="false">D20-E20</f>
        <v>-40000</v>
      </c>
    </row>
    <row r="21" customFormat="false" ht="15" hidden="false" customHeight="false" outlineLevel="0" collapsed="false">
      <c r="A21" s="35" t="str">
        <f aca="false">Comptes!A21</f>
        <v>431</v>
      </c>
      <c r="B21" s="22" t="str">
        <f aca="false">Comptes!B21</f>
        <v>Securite sociale (CNAS)</v>
      </c>
      <c r="C21" s="35" t="n">
        <f aca="false">Comptes!D21</f>
        <v>4</v>
      </c>
      <c r="D21" s="32" t="n">
        <f aca="false">SUMIF(Journal!$D$4:$D$503,$A21,Journal!$H$4:$H$503)</f>
        <v>0</v>
      </c>
      <c r="E21" s="32" t="n">
        <f aca="false">SUMIF(Journal!$D$4:$D$503,$A21,Journal!$I$4:$I$503)</f>
        <v>0</v>
      </c>
      <c r="F21" s="32" t="n">
        <f aca="false">IF(D21-E21&gt;0,D21-E21,0)</f>
        <v>0</v>
      </c>
      <c r="G21" s="32" t="n">
        <f aca="false">IF(E21-D21&gt;0,E21-D21,0)</f>
        <v>0</v>
      </c>
      <c r="H21" s="32" t="n">
        <f aca="false">D21-E21</f>
        <v>0</v>
      </c>
    </row>
    <row r="22" customFormat="false" ht="15" hidden="false" customHeight="false" outlineLevel="0" collapsed="false">
      <c r="A22" s="35" t="str">
        <f aca="false">Comptes!A22</f>
        <v>442</v>
      </c>
      <c r="B22" s="22" t="str">
        <f aca="false">Comptes!B22</f>
        <v>Etat, impots et taxes</v>
      </c>
      <c r="C22" s="35" t="n">
        <f aca="false">Comptes!D22</f>
        <v>4</v>
      </c>
      <c r="D22" s="32" t="n">
        <f aca="false">SUMIF(Journal!$D$4:$D$503,$A22,Journal!$H$4:$H$503)</f>
        <v>0</v>
      </c>
      <c r="E22" s="32" t="n">
        <f aca="false">SUMIF(Journal!$D$4:$D$503,$A22,Journal!$I$4:$I$503)</f>
        <v>0</v>
      </c>
      <c r="F22" s="32" t="n">
        <f aca="false">IF(D22-E22&gt;0,D22-E22,0)</f>
        <v>0</v>
      </c>
      <c r="G22" s="32" t="n">
        <f aca="false">IF(E22-D22&gt;0,E22-D22,0)</f>
        <v>0</v>
      </c>
      <c r="H22" s="32" t="n">
        <f aca="false">D22-E22</f>
        <v>0</v>
      </c>
    </row>
    <row r="23" customFormat="false" ht="15" hidden="false" customHeight="false" outlineLevel="0" collapsed="false">
      <c r="A23" s="35" t="str">
        <f aca="false">Comptes!A23</f>
        <v>4456</v>
      </c>
      <c r="B23" s="22" t="str">
        <f aca="false">Comptes!B23</f>
        <v>TVA deductible</v>
      </c>
      <c r="C23" s="35" t="n">
        <f aca="false">Comptes!D23</f>
        <v>4</v>
      </c>
      <c r="D23" s="32" t="n">
        <f aca="false">SUMIF(Journal!$D$4:$D$503,$A23,Journal!$H$4:$H$503)</f>
        <v>9500</v>
      </c>
      <c r="E23" s="32" t="n">
        <f aca="false">SUMIF(Journal!$D$4:$D$503,$A23,Journal!$I$4:$I$503)</f>
        <v>0</v>
      </c>
      <c r="F23" s="32" t="n">
        <f aca="false">IF(D23-E23&gt;0,D23-E23,0)</f>
        <v>9500</v>
      </c>
      <c r="G23" s="32" t="n">
        <f aca="false">IF(E23-D23&gt;0,E23-D23,0)</f>
        <v>0</v>
      </c>
      <c r="H23" s="32" t="n">
        <f aca="false">D23-E23</f>
        <v>9500</v>
      </c>
    </row>
    <row r="24" customFormat="false" ht="15" hidden="false" customHeight="false" outlineLevel="0" collapsed="false">
      <c r="A24" s="35" t="str">
        <f aca="false">Comptes!A24</f>
        <v>4457</v>
      </c>
      <c r="B24" s="22" t="str">
        <f aca="false">Comptes!B24</f>
        <v>TVA collectee</v>
      </c>
      <c r="C24" s="35" t="n">
        <f aca="false">Comptes!D24</f>
        <v>4</v>
      </c>
      <c r="D24" s="32" t="n">
        <f aca="false">SUMIF(Journal!$D$4:$D$503,$A24,Journal!$H$4:$H$503)</f>
        <v>0</v>
      </c>
      <c r="E24" s="32" t="n">
        <f aca="false">SUMIF(Journal!$D$4:$D$503,$A24,Journal!$I$4:$I$503)</f>
        <v>19000</v>
      </c>
      <c r="F24" s="32" t="n">
        <f aca="false">IF(D24-E24&gt;0,D24-E24,0)</f>
        <v>0</v>
      </c>
      <c r="G24" s="32" t="n">
        <f aca="false">IF(E24-D24&gt;0,E24-D24,0)</f>
        <v>19000</v>
      </c>
      <c r="H24" s="32" t="n">
        <f aca="false">D24-E24</f>
        <v>-19000</v>
      </c>
    </row>
    <row r="25" customFormat="false" ht="15" hidden="false" customHeight="false" outlineLevel="0" collapsed="false">
      <c r="A25" s="35" t="str">
        <f aca="false">Comptes!A25</f>
        <v>512</v>
      </c>
      <c r="B25" s="22" t="str">
        <f aca="false">Comptes!B25</f>
        <v>Banque</v>
      </c>
      <c r="C25" s="35" t="n">
        <f aca="false">Comptes!D25</f>
        <v>5</v>
      </c>
      <c r="D25" s="32" t="n">
        <f aca="false">SUMIF(Journal!$D$4:$D$503,$A25,Journal!$H$4:$H$503)</f>
        <v>119000</v>
      </c>
      <c r="E25" s="32" t="n">
        <f aca="false">SUMIF(Journal!$D$4:$D$503,$A25,Journal!$I$4:$I$503)</f>
        <v>0</v>
      </c>
      <c r="F25" s="32" t="n">
        <f aca="false">IF(D25-E25&gt;0,D25-E25,0)</f>
        <v>119000</v>
      </c>
      <c r="G25" s="32" t="n">
        <f aca="false">IF(E25-D25&gt;0,E25-D25,0)</f>
        <v>0</v>
      </c>
      <c r="H25" s="32" t="n">
        <f aca="false">D25-E25</f>
        <v>119000</v>
      </c>
    </row>
    <row r="26" customFormat="false" ht="15" hidden="false" customHeight="false" outlineLevel="0" collapsed="false">
      <c r="A26" s="35" t="str">
        <f aca="false">Comptes!A26</f>
        <v>530</v>
      </c>
      <c r="B26" s="22" t="str">
        <f aca="false">Comptes!B26</f>
        <v>Caisse</v>
      </c>
      <c r="C26" s="35" t="n">
        <f aca="false">Comptes!D26</f>
        <v>5</v>
      </c>
      <c r="D26" s="32" t="n">
        <f aca="false">SUMIF(Journal!$D$4:$D$503,$A26,Journal!$H$4:$H$503)</f>
        <v>0</v>
      </c>
      <c r="E26" s="32" t="n">
        <f aca="false">SUMIF(Journal!$D$4:$D$503,$A26,Journal!$I$4:$I$503)</f>
        <v>0</v>
      </c>
      <c r="F26" s="32" t="n">
        <f aca="false">IF(D26-E26&gt;0,D26-E26,0)</f>
        <v>0</v>
      </c>
      <c r="G26" s="32" t="n">
        <f aca="false">IF(E26-D26&gt;0,E26-D26,0)</f>
        <v>0</v>
      </c>
      <c r="H26" s="32" t="n">
        <f aca="false">D26-E26</f>
        <v>0</v>
      </c>
    </row>
    <row r="27" customFormat="false" ht="15" hidden="false" customHeight="false" outlineLevel="0" collapsed="false">
      <c r="A27" s="35" t="str">
        <f aca="false">Comptes!A27</f>
        <v>600</v>
      </c>
      <c r="B27" s="22" t="str">
        <f aca="false">Comptes!B27</f>
        <v>Achats de marchandises vendues</v>
      </c>
      <c r="C27" s="35" t="n">
        <f aca="false">Comptes!D27</f>
        <v>6</v>
      </c>
      <c r="D27" s="32" t="n">
        <f aca="false">SUMIF(Journal!$D$4:$D$503,$A27,Journal!$H$4:$H$503)</f>
        <v>50000</v>
      </c>
      <c r="E27" s="32" t="n">
        <f aca="false">SUMIF(Journal!$D$4:$D$503,$A27,Journal!$I$4:$I$503)</f>
        <v>0</v>
      </c>
      <c r="F27" s="32" t="n">
        <f aca="false">IF(D27-E27&gt;0,D27-E27,0)</f>
        <v>50000</v>
      </c>
      <c r="G27" s="32" t="n">
        <f aca="false">IF(E27-D27&gt;0,E27-D27,0)</f>
        <v>0</v>
      </c>
      <c r="H27" s="32" t="n">
        <f aca="false">D27-E27</f>
        <v>50000</v>
      </c>
    </row>
    <row r="28" customFormat="false" ht="15" hidden="false" customHeight="false" outlineLevel="0" collapsed="false">
      <c r="A28" s="35" t="str">
        <f aca="false">Comptes!A28</f>
        <v>601</v>
      </c>
      <c r="B28" s="22" t="str">
        <f aca="false">Comptes!B28</f>
        <v>Matieres premieres consommees</v>
      </c>
      <c r="C28" s="35" t="n">
        <f aca="false">Comptes!D28</f>
        <v>6</v>
      </c>
      <c r="D28" s="32" t="n">
        <f aca="false">SUMIF(Journal!$D$4:$D$503,$A28,Journal!$H$4:$H$503)</f>
        <v>0</v>
      </c>
      <c r="E28" s="32" t="n">
        <f aca="false">SUMIF(Journal!$D$4:$D$503,$A28,Journal!$I$4:$I$503)</f>
        <v>0</v>
      </c>
      <c r="F28" s="32" t="n">
        <f aca="false">IF(D28-E28&gt;0,D28-E28,0)</f>
        <v>0</v>
      </c>
      <c r="G28" s="32" t="n">
        <f aca="false">IF(E28-D28&gt;0,E28-D28,0)</f>
        <v>0</v>
      </c>
      <c r="H28" s="32" t="n">
        <f aca="false">D28-E28</f>
        <v>0</v>
      </c>
    </row>
    <row r="29" customFormat="false" ht="15" hidden="false" customHeight="false" outlineLevel="0" collapsed="false">
      <c r="A29" s="35" t="str">
        <f aca="false">Comptes!A29</f>
        <v>607</v>
      </c>
      <c r="B29" s="22" t="str">
        <f aca="false">Comptes!B29</f>
        <v>Achats non stockes de matieres et fournitures</v>
      </c>
      <c r="C29" s="35" t="n">
        <f aca="false">Comptes!D29</f>
        <v>6</v>
      </c>
      <c r="D29" s="32" t="n">
        <f aca="false">SUMIF(Journal!$D$4:$D$503,$A29,Journal!$H$4:$H$503)</f>
        <v>0</v>
      </c>
      <c r="E29" s="32" t="n">
        <f aca="false">SUMIF(Journal!$D$4:$D$503,$A29,Journal!$I$4:$I$503)</f>
        <v>0</v>
      </c>
      <c r="F29" s="32" t="n">
        <f aca="false">IF(D29-E29&gt;0,D29-E29,0)</f>
        <v>0</v>
      </c>
      <c r="G29" s="32" t="n">
        <f aca="false">IF(E29-D29&gt;0,E29-D29,0)</f>
        <v>0</v>
      </c>
      <c r="H29" s="32" t="n">
        <f aca="false">D29-E29</f>
        <v>0</v>
      </c>
    </row>
    <row r="30" customFormat="false" ht="15" hidden="false" customHeight="false" outlineLevel="0" collapsed="false">
      <c r="A30" s="35" t="str">
        <f aca="false">Comptes!A30</f>
        <v>613</v>
      </c>
      <c r="B30" s="22" t="str">
        <f aca="false">Comptes!B30</f>
        <v>Locations</v>
      </c>
      <c r="C30" s="35" t="n">
        <f aca="false">Comptes!D30</f>
        <v>6</v>
      </c>
      <c r="D30" s="32" t="n">
        <f aca="false">SUMIF(Journal!$D$4:$D$503,$A30,Journal!$H$4:$H$503)</f>
        <v>0</v>
      </c>
      <c r="E30" s="32" t="n">
        <f aca="false">SUMIF(Journal!$D$4:$D$503,$A30,Journal!$I$4:$I$503)</f>
        <v>0</v>
      </c>
      <c r="F30" s="32" t="n">
        <f aca="false">IF(D30-E30&gt;0,D30-E30,0)</f>
        <v>0</v>
      </c>
      <c r="G30" s="32" t="n">
        <f aca="false">IF(E30-D30&gt;0,E30-D30,0)</f>
        <v>0</v>
      </c>
      <c r="H30" s="32" t="n">
        <f aca="false">D30-E30</f>
        <v>0</v>
      </c>
    </row>
    <row r="31" customFormat="false" ht="15" hidden="false" customHeight="false" outlineLevel="0" collapsed="false">
      <c r="A31" s="35" t="str">
        <f aca="false">Comptes!A31</f>
        <v>615</v>
      </c>
      <c r="B31" s="22" t="str">
        <f aca="false">Comptes!B31</f>
        <v>Entretien et reparations</v>
      </c>
      <c r="C31" s="35" t="n">
        <f aca="false">Comptes!D31</f>
        <v>6</v>
      </c>
      <c r="D31" s="32" t="n">
        <f aca="false">SUMIF(Journal!$D$4:$D$503,$A31,Journal!$H$4:$H$503)</f>
        <v>0</v>
      </c>
      <c r="E31" s="32" t="n">
        <f aca="false">SUMIF(Journal!$D$4:$D$503,$A31,Journal!$I$4:$I$503)</f>
        <v>0</v>
      </c>
      <c r="F31" s="32" t="n">
        <f aca="false">IF(D31-E31&gt;0,D31-E31,0)</f>
        <v>0</v>
      </c>
      <c r="G31" s="32" t="n">
        <f aca="false">IF(E31-D31&gt;0,E31-D31,0)</f>
        <v>0</v>
      </c>
      <c r="H31" s="32" t="n">
        <f aca="false">D31-E31</f>
        <v>0</v>
      </c>
    </row>
    <row r="32" customFormat="false" ht="15" hidden="false" customHeight="false" outlineLevel="0" collapsed="false">
      <c r="A32" s="35" t="str">
        <f aca="false">Comptes!A32</f>
        <v>616</v>
      </c>
      <c r="B32" s="22" t="str">
        <f aca="false">Comptes!B32</f>
        <v>Primes d assurances</v>
      </c>
      <c r="C32" s="35" t="n">
        <f aca="false">Comptes!D32</f>
        <v>6</v>
      </c>
      <c r="D32" s="32" t="n">
        <f aca="false">SUMIF(Journal!$D$4:$D$503,$A32,Journal!$H$4:$H$503)</f>
        <v>0</v>
      </c>
      <c r="E32" s="32" t="n">
        <f aca="false">SUMIF(Journal!$D$4:$D$503,$A32,Journal!$I$4:$I$503)</f>
        <v>0</v>
      </c>
      <c r="F32" s="32" t="n">
        <f aca="false">IF(D32-E32&gt;0,D32-E32,0)</f>
        <v>0</v>
      </c>
      <c r="G32" s="32" t="n">
        <f aca="false">IF(E32-D32&gt;0,E32-D32,0)</f>
        <v>0</v>
      </c>
      <c r="H32" s="32" t="n">
        <f aca="false">D32-E32</f>
        <v>0</v>
      </c>
    </row>
    <row r="33" customFormat="false" ht="15" hidden="false" customHeight="false" outlineLevel="0" collapsed="false">
      <c r="A33" s="35" t="str">
        <f aca="false">Comptes!A33</f>
        <v>622</v>
      </c>
      <c r="B33" s="22" t="str">
        <f aca="false">Comptes!B33</f>
        <v>Remunerations d intermediaires et honoraires</v>
      </c>
      <c r="C33" s="35" t="n">
        <f aca="false">Comptes!D33</f>
        <v>6</v>
      </c>
      <c r="D33" s="32" t="n">
        <f aca="false">SUMIF(Journal!$D$4:$D$503,$A33,Journal!$H$4:$H$503)</f>
        <v>0</v>
      </c>
      <c r="E33" s="32" t="n">
        <f aca="false">SUMIF(Journal!$D$4:$D$503,$A33,Journal!$I$4:$I$503)</f>
        <v>0</v>
      </c>
      <c r="F33" s="32" t="n">
        <f aca="false">IF(D33-E33&gt;0,D33-E33,0)</f>
        <v>0</v>
      </c>
      <c r="G33" s="32" t="n">
        <f aca="false">IF(E33-D33&gt;0,E33-D33,0)</f>
        <v>0</v>
      </c>
      <c r="H33" s="32" t="n">
        <f aca="false">D33-E33</f>
        <v>0</v>
      </c>
    </row>
    <row r="34" customFormat="false" ht="15" hidden="false" customHeight="false" outlineLevel="0" collapsed="false">
      <c r="A34" s="35" t="str">
        <f aca="false">Comptes!A34</f>
        <v>623</v>
      </c>
      <c r="B34" s="22" t="str">
        <f aca="false">Comptes!B34</f>
        <v>Publicite</v>
      </c>
      <c r="C34" s="35" t="n">
        <f aca="false">Comptes!D34</f>
        <v>6</v>
      </c>
      <c r="D34" s="32" t="n">
        <f aca="false">SUMIF(Journal!$D$4:$D$503,$A34,Journal!$H$4:$H$503)</f>
        <v>0</v>
      </c>
      <c r="E34" s="32" t="n">
        <f aca="false">SUMIF(Journal!$D$4:$D$503,$A34,Journal!$I$4:$I$503)</f>
        <v>0</v>
      </c>
      <c r="F34" s="32" t="n">
        <f aca="false">IF(D34-E34&gt;0,D34-E34,0)</f>
        <v>0</v>
      </c>
      <c r="G34" s="32" t="n">
        <f aca="false">IF(E34-D34&gt;0,E34-D34,0)</f>
        <v>0</v>
      </c>
      <c r="H34" s="32" t="n">
        <f aca="false">D34-E34</f>
        <v>0</v>
      </c>
    </row>
    <row r="35" customFormat="false" ht="15" hidden="false" customHeight="false" outlineLevel="0" collapsed="false">
      <c r="A35" s="35" t="str">
        <f aca="false">Comptes!A35</f>
        <v>624</v>
      </c>
      <c r="B35" s="22" t="str">
        <f aca="false">Comptes!B35</f>
        <v>Transports</v>
      </c>
      <c r="C35" s="35" t="n">
        <f aca="false">Comptes!D35</f>
        <v>6</v>
      </c>
      <c r="D35" s="32" t="n">
        <f aca="false">SUMIF(Journal!$D$4:$D$503,$A35,Journal!$H$4:$H$503)</f>
        <v>0</v>
      </c>
      <c r="E35" s="32" t="n">
        <f aca="false">SUMIF(Journal!$D$4:$D$503,$A35,Journal!$I$4:$I$503)</f>
        <v>0</v>
      </c>
      <c r="F35" s="32" t="n">
        <f aca="false">IF(D35-E35&gt;0,D35-E35,0)</f>
        <v>0</v>
      </c>
      <c r="G35" s="32" t="n">
        <f aca="false">IF(E35-D35&gt;0,E35-D35,0)</f>
        <v>0</v>
      </c>
      <c r="H35" s="32" t="n">
        <f aca="false">D35-E35</f>
        <v>0</v>
      </c>
    </row>
    <row r="36" customFormat="false" ht="15" hidden="false" customHeight="false" outlineLevel="0" collapsed="false">
      <c r="A36" s="35" t="str">
        <f aca="false">Comptes!A36</f>
        <v>626</v>
      </c>
      <c r="B36" s="22" t="str">
        <f aca="false">Comptes!B36</f>
        <v>Frais postaux et telecommunications</v>
      </c>
      <c r="C36" s="35" t="n">
        <f aca="false">Comptes!D36</f>
        <v>6</v>
      </c>
      <c r="D36" s="32" t="n">
        <f aca="false">SUMIF(Journal!$D$4:$D$503,$A36,Journal!$H$4:$H$503)</f>
        <v>0</v>
      </c>
      <c r="E36" s="32" t="n">
        <f aca="false">SUMIF(Journal!$D$4:$D$503,$A36,Journal!$I$4:$I$503)</f>
        <v>0</v>
      </c>
      <c r="F36" s="32" t="n">
        <f aca="false">IF(D36-E36&gt;0,D36-E36,0)</f>
        <v>0</v>
      </c>
      <c r="G36" s="32" t="n">
        <f aca="false">IF(E36-D36&gt;0,E36-D36,0)</f>
        <v>0</v>
      </c>
      <c r="H36" s="32" t="n">
        <f aca="false">D36-E36</f>
        <v>0</v>
      </c>
    </row>
    <row r="37" customFormat="false" ht="15" hidden="false" customHeight="false" outlineLevel="0" collapsed="false">
      <c r="A37" s="35" t="str">
        <f aca="false">Comptes!A37</f>
        <v>627</v>
      </c>
      <c r="B37" s="22" t="str">
        <f aca="false">Comptes!B37</f>
        <v>Services bancaires</v>
      </c>
      <c r="C37" s="35" t="n">
        <f aca="false">Comptes!D37</f>
        <v>6</v>
      </c>
      <c r="D37" s="32" t="n">
        <f aca="false">SUMIF(Journal!$D$4:$D$503,$A37,Journal!$H$4:$H$503)</f>
        <v>0</v>
      </c>
      <c r="E37" s="32" t="n">
        <f aca="false">SUMIF(Journal!$D$4:$D$503,$A37,Journal!$I$4:$I$503)</f>
        <v>0</v>
      </c>
      <c r="F37" s="32" t="n">
        <f aca="false">IF(D37-E37&gt;0,D37-E37,0)</f>
        <v>0</v>
      </c>
      <c r="G37" s="32" t="n">
        <f aca="false">IF(E37-D37&gt;0,E37-D37,0)</f>
        <v>0</v>
      </c>
      <c r="H37" s="32" t="n">
        <f aca="false">D37-E37</f>
        <v>0</v>
      </c>
    </row>
    <row r="38" customFormat="false" ht="15" hidden="false" customHeight="false" outlineLevel="0" collapsed="false">
      <c r="A38" s="35" t="str">
        <f aca="false">Comptes!A38</f>
        <v>631</v>
      </c>
      <c r="B38" s="22" t="str">
        <f aca="false">Comptes!B38</f>
        <v>Remunerations du personnel</v>
      </c>
      <c r="C38" s="35" t="n">
        <f aca="false">Comptes!D38</f>
        <v>6</v>
      </c>
      <c r="D38" s="32" t="n">
        <f aca="false">SUMIF(Journal!$D$4:$D$503,$A38,Journal!$H$4:$H$503)</f>
        <v>40000</v>
      </c>
      <c r="E38" s="32" t="n">
        <f aca="false">SUMIF(Journal!$D$4:$D$503,$A38,Journal!$I$4:$I$503)</f>
        <v>0</v>
      </c>
      <c r="F38" s="32" t="n">
        <f aca="false">IF(D38-E38&gt;0,D38-E38,0)</f>
        <v>40000</v>
      </c>
      <c r="G38" s="32" t="n">
        <f aca="false">IF(E38-D38&gt;0,E38-D38,0)</f>
        <v>0</v>
      </c>
      <c r="H38" s="32" t="n">
        <f aca="false">D38-E38</f>
        <v>40000</v>
      </c>
    </row>
    <row r="39" customFormat="false" ht="15" hidden="false" customHeight="false" outlineLevel="0" collapsed="false">
      <c r="A39" s="35" t="str">
        <f aca="false">Comptes!A39</f>
        <v>635</v>
      </c>
      <c r="B39" s="22" t="str">
        <f aca="false">Comptes!B39</f>
        <v>Cotisations aux organismes sociaux</v>
      </c>
      <c r="C39" s="35" t="n">
        <f aca="false">Comptes!D39</f>
        <v>6</v>
      </c>
      <c r="D39" s="32" t="n">
        <f aca="false">SUMIF(Journal!$D$4:$D$503,$A39,Journal!$H$4:$H$503)</f>
        <v>0</v>
      </c>
      <c r="E39" s="32" t="n">
        <f aca="false">SUMIF(Journal!$D$4:$D$503,$A39,Journal!$I$4:$I$503)</f>
        <v>0</v>
      </c>
      <c r="F39" s="32" t="n">
        <f aca="false">IF(D39-E39&gt;0,D39-E39,0)</f>
        <v>0</v>
      </c>
      <c r="G39" s="32" t="n">
        <f aca="false">IF(E39-D39&gt;0,E39-D39,0)</f>
        <v>0</v>
      </c>
      <c r="H39" s="32" t="n">
        <f aca="false">D39-E39</f>
        <v>0</v>
      </c>
    </row>
    <row r="40" customFormat="false" ht="15" hidden="false" customHeight="false" outlineLevel="0" collapsed="false">
      <c r="A40" s="35" t="str">
        <f aca="false">Comptes!A40</f>
        <v>641</v>
      </c>
      <c r="B40" s="22" t="str">
        <f aca="false">Comptes!B40</f>
        <v>Impots et taxes non recuperables sur le chiffre d affaires</v>
      </c>
      <c r="C40" s="35" t="n">
        <f aca="false">Comptes!D40</f>
        <v>6</v>
      </c>
      <c r="D40" s="32" t="n">
        <f aca="false">SUMIF(Journal!$D$4:$D$503,$A40,Journal!$H$4:$H$503)</f>
        <v>0</v>
      </c>
      <c r="E40" s="32" t="n">
        <f aca="false">SUMIF(Journal!$D$4:$D$503,$A40,Journal!$I$4:$I$503)</f>
        <v>0</v>
      </c>
      <c r="F40" s="32" t="n">
        <f aca="false">IF(D40-E40&gt;0,D40-E40,0)</f>
        <v>0</v>
      </c>
      <c r="G40" s="32" t="n">
        <f aca="false">IF(E40-D40&gt;0,E40-D40,0)</f>
        <v>0</v>
      </c>
      <c r="H40" s="32" t="n">
        <f aca="false">D40-E40</f>
        <v>0</v>
      </c>
    </row>
    <row r="41" customFormat="false" ht="15" hidden="false" customHeight="false" outlineLevel="0" collapsed="false">
      <c r="A41" s="35" t="str">
        <f aca="false">Comptes!A41</f>
        <v>642</v>
      </c>
      <c r="B41" s="22" t="str">
        <f aca="false">Comptes!B41</f>
        <v>Autres impots et taxes</v>
      </c>
      <c r="C41" s="35" t="n">
        <f aca="false">Comptes!D41</f>
        <v>6</v>
      </c>
      <c r="D41" s="32" t="n">
        <f aca="false">SUMIF(Journal!$D$4:$D$503,$A41,Journal!$H$4:$H$503)</f>
        <v>0</v>
      </c>
      <c r="E41" s="32" t="n">
        <f aca="false">SUMIF(Journal!$D$4:$D$503,$A41,Journal!$I$4:$I$503)</f>
        <v>0</v>
      </c>
      <c r="F41" s="32" t="n">
        <f aca="false">IF(D41-E41&gt;0,D41-E41,0)</f>
        <v>0</v>
      </c>
      <c r="G41" s="32" t="n">
        <f aca="false">IF(E41-D41&gt;0,E41-D41,0)</f>
        <v>0</v>
      </c>
      <c r="H41" s="32" t="n">
        <f aca="false">D41-E41</f>
        <v>0</v>
      </c>
    </row>
    <row r="42" customFormat="false" ht="15" hidden="false" customHeight="false" outlineLevel="0" collapsed="false">
      <c r="A42" s="35" t="str">
        <f aca="false">Comptes!A42</f>
        <v>661</v>
      </c>
      <c r="B42" s="22" t="str">
        <f aca="false">Comptes!B42</f>
        <v>Charges d interets</v>
      </c>
      <c r="C42" s="35" t="n">
        <f aca="false">Comptes!D42</f>
        <v>6</v>
      </c>
      <c r="D42" s="32" t="n">
        <f aca="false">SUMIF(Journal!$D$4:$D$503,$A42,Journal!$H$4:$H$503)</f>
        <v>0</v>
      </c>
      <c r="E42" s="32" t="n">
        <f aca="false">SUMIF(Journal!$D$4:$D$503,$A42,Journal!$I$4:$I$503)</f>
        <v>0</v>
      </c>
      <c r="F42" s="32" t="n">
        <f aca="false">IF(D42-E42&gt;0,D42-E42,0)</f>
        <v>0</v>
      </c>
      <c r="G42" s="32" t="n">
        <f aca="false">IF(E42-D42&gt;0,E42-D42,0)</f>
        <v>0</v>
      </c>
      <c r="H42" s="32" t="n">
        <f aca="false">D42-E42</f>
        <v>0</v>
      </c>
    </row>
    <row r="43" customFormat="false" ht="15" hidden="false" customHeight="false" outlineLevel="0" collapsed="false">
      <c r="A43" s="35" t="str">
        <f aca="false">Comptes!A43</f>
        <v>681</v>
      </c>
      <c r="B43" s="22" t="str">
        <f aca="false">Comptes!B43</f>
        <v>Dotations aux amortissements</v>
      </c>
      <c r="C43" s="35" t="n">
        <f aca="false">Comptes!D43</f>
        <v>6</v>
      </c>
      <c r="D43" s="32" t="n">
        <f aca="false">SUMIF(Journal!$D$4:$D$503,$A43,Journal!$H$4:$H$503)</f>
        <v>0</v>
      </c>
      <c r="E43" s="32" t="n">
        <f aca="false">SUMIF(Journal!$D$4:$D$503,$A43,Journal!$I$4:$I$503)</f>
        <v>0</v>
      </c>
      <c r="F43" s="32" t="n">
        <f aca="false">IF(D43-E43&gt;0,D43-E43,0)</f>
        <v>0</v>
      </c>
      <c r="G43" s="32" t="n">
        <f aca="false">IF(E43-D43&gt;0,E43-D43,0)</f>
        <v>0</v>
      </c>
      <c r="H43" s="32" t="n">
        <f aca="false">D43-E43</f>
        <v>0</v>
      </c>
    </row>
    <row r="44" customFormat="false" ht="15" hidden="false" customHeight="false" outlineLevel="0" collapsed="false">
      <c r="A44" s="35" t="str">
        <f aca="false">Comptes!A44</f>
        <v>695</v>
      </c>
      <c r="B44" s="22" t="str">
        <f aca="false">Comptes!B44</f>
        <v>Impots sur les resultats ordinaires</v>
      </c>
      <c r="C44" s="35" t="n">
        <f aca="false">Comptes!D44</f>
        <v>6</v>
      </c>
      <c r="D44" s="32" t="n">
        <f aca="false">SUMIF(Journal!$D$4:$D$503,$A44,Journal!$H$4:$H$503)</f>
        <v>0</v>
      </c>
      <c r="E44" s="32" t="n">
        <f aca="false">SUMIF(Journal!$D$4:$D$503,$A44,Journal!$I$4:$I$503)</f>
        <v>0</v>
      </c>
      <c r="F44" s="32" t="n">
        <f aca="false">IF(D44-E44&gt;0,D44-E44,0)</f>
        <v>0</v>
      </c>
      <c r="G44" s="32" t="n">
        <f aca="false">IF(E44-D44&gt;0,E44-D44,0)</f>
        <v>0</v>
      </c>
      <c r="H44" s="32" t="n">
        <f aca="false">D44-E44</f>
        <v>0</v>
      </c>
    </row>
    <row r="45" customFormat="false" ht="15" hidden="false" customHeight="false" outlineLevel="0" collapsed="false">
      <c r="A45" s="35" t="str">
        <f aca="false">Comptes!A45</f>
        <v>700</v>
      </c>
      <c r="B45" s="22" t="str">
        <f aca="false">Comptes!B45</f>
        <v>Ventes de marchandises</v>
      </c>
      <c r="C45" s="35" t="n">
        <f aca="false">Comptes!D45</f>
        <v>7</v>
      </c>
      <c r="D45" s="32" t="n">
        <f aca="false">SUMIF(Journal!$D$4:$D$503,$A45,Journal!$H$4:$H$503)</f>
        <v>0</v>
      </c>
      <c r="E45" s="32" t="n">
        <f aca="false">SUMIF(Journal!$D$4:$D$503,$A45,Journal!$I$4:$I$503)</f>
        <v>100000</v>
      </c>
      <c r="F45" s="32" t="n">
        <f aca="false">IF(D45-E45&gt;0,D45-E45,0)</f>
        <v>0</v>
      </c>
      <c r="G45" s="32" t="n">
        <f aca="false">IF(E45-D45&gt;0,E45-D45,0)</f>
        <v>100000</v>
      </c>
      <c r="H45" s="32" t="n">
        <f aca="false">D45-E45</f>
        <v>-100000</v>
      </c>
    </row>
    <row r="46" customFormat="false" ht="15" hidden="false" customHeight="false" outlineLevel="0" collapsed="false">
      <c r="A46" s="35" t="str">
        <f aca="false">Comptes!A46</f>
        <v>701</v>
      </c>
      <c r="B46" s="22" t="str">
        <f aca="false">Comptes!B46</f>
        <v>Ventes de produits finis</v>
      </c>
      <c r="C46" s="35" t="n">
        <f aca="false">Comptes!D46</f>
        <v>7</v>
      </c>
      <c r="D46" s="32" t="n">
        <f aca="false">SUMIF(Journal!$D$4:$D$503,$A46,Journal!$H$4:$H$503)</f>
        <v>0</v>
      </c>
      <c r="E46" s="32" t="n">
        <f aca="false">SUMIF(Journal!$D$4:$D$503,$A46,Journal!$I$4:$I$503)</f>
        <v>0</v>
      </c>
      <c r="F46" s="32" t="n">
        <f aca="false">IF(D46-E46&gt;0,D46-E46,0)</f>
        <v>0</v>
      </c>
      <c r="G46" s="32" t="n">
        <f aca="false">IF(E46-D46&gt;0,E46-D46,0)</f>
        <v>0</v>
      </c>
      <c r="H46" s="32" t="n">
        <f aca="false">D46-E46</f>
        <v>0</v>
      </c>
    </row>
    <row r="47" customFormat="false" ht="15" hidden="false" customHeight="false" outlineLevel="0" collapsed="false">
      <c r="A47" s="35" t="str">
        <f aca="false">Comptes!A47</f>
        <v>706</v>
      </c>
      <c r="B47" s="22" t="str">
        <f aca="false">Comptes!B47</f>
        <v>Prestations de services</v>
      </c>
      <c r="C47" s="35" t="n">
        <f aca="false">Comptes!D47</f>
        <v>7</v>
      </c>
      <c r="D47" s="32" t="n">
        <f aca="false">SUMIF(Journal!$D$4:$D$503,$A47,Journal!$H$4:$H$503)</f>
        <v>0</v>
      </c>
      <c r="E47" s="32" t="n">
        <f aca="false">SUMIF(Journal!$D$4:$D$503,$A47,Journal!$I$4:$I$503)</f>
        <v>0</v>
      </c>
      <c r="F47" s="32" t="n">
        <f aca="false">IF(D47-E47&gt;0,D47-E47,0)</f>
        <v>0</v>
      </c>
      <c r="G47" s="32" t="n">
        <f aca="false">IF(E47-D47&gt;0,E47-D47,0)</f>
        <v>0</v>
      </c>
      <c r="H47" s="32" t="n">
        <f aca="false">D47-E47</f>
        <v>0</v>
      </c>
    </row>
    <row r="48" customFormat="false" ht="15" hidden="false" customHeight="false" outlineLevel="0" collapsed="false">
      <c r="A48" s="35" t="str">
        <f aca="false">Comptes!A48</f>
        <v>708</v>
      </c>
      <c r="B48" s="22" t="str">
        <f aca="false">Comptes!B48</f>
        <v>Produits des activites annexes</v>
      </c>
      <c r="C48" s="35" t="n">
        <f aca="false">Comptes!D48</f>
        <v>7</v>
      </c>
      <c r="D48" s="32" t="n">
        <f aca="false">SUMIF(Journal!$D$4:$D$503,$A48,Journal!$H$4:$H$503)</f>
        <v>0</v>
      </c>
      <c r="E48" s="32" t="n">
        <f aca="false">SUMIF(Journal!$D$4:$D$503,$A48,Journal!$I$4:$I$503)</f>
        <v>0</v>
      </c>
      <c r="F48" s="32" t="n">
        <f aca="false">IF(D48-E48&gt;0,D48-E48,0)</f>
        <v>0</v>
      </c>
      <c r="G48" s="32" t="n">
        <f aca="false">IF(E48-D48&gt;0,E48-D48,0)</f>
        <v>0</v>
      </c>
      <c r="H48" s="32" t="n">
        <f aca="false">D48-E48</f>
        <v>0</v>
      </c>
    </row>
    <row r="49" customFormat="false" ht="15" hidden="false" customHeight="false" outlineLevel="0" collapsed="false">
      <c r="A49" s="35" t="str">
        <f aca="false">Comptes!A49</f>
        <v>758</v>
      </c>
      <c r="B49" s="22" t="str">
        <f aca="false">Comptes!B49</f>
        <v>Autres produits operationnels</v>
      </c>
      <c r="C49" s="35" t="n">
        <f aca="false">Comptes!D49</f>
        <v>7</v>
      </c>
      <c r="D49" s="32" t="n">
        <f aca="false">SUMIF(Journal!$D$4:$D$503,$A49,Journal!$H$4:$H$503)</f>
        <v>0</v>
      </c>
      <c r="E49" s="32" t="n">
        <f aca="false">SUMIF(Journal!$D$4:$D$503,$A49,Journal!$I$4:$I$503)</f>
        <v>0</v>
      </c>
      <c r="F49" s="32" t="n">
        <f aca="false">IF(D49-E49&gt;0,D49-E49,0)</f>
        <v>0</v>
      </c>
      <c r="G49" s="32" t="n">
        <f aca="false">IF(E49-D49&gt;0,E49-D49,0)</f>
        <v>0</v>
      </c>
      <c r="H49" s="32" t="n">
        <f aca="false">D49-E49</f>
        <v>0</v>
      </c>
    </row>
    <row r="50" customFormat="false" ht="15" hidden="false" customHeight="false" outlineLevel="0" collapsed="false">
      <c r="A50" s="35" t="str">
        <f aca="false">Comptes!A50</f>
        <v>768</v>
      </c>
      <c r="B50" s="22" t="str">
        <f aca="false">Comptes!B50</f>
        <v>Autres produits financiers</v>
      </c>
      <c r="C50" s="35" t="n">
        <f aca="false">Comptes!D50</f>
        <v>7</v>
      </c>
      <c r="D50" s="32" t="n">
        <f aca="false">SUMIF(Journal!$D$4:$D$503,$A50,Journal!$H$4:$H$503)</f>
        <v>0</v>
      </c>
      <c r="E50" s="32" t="n">
        <f aca="false">SUMIF(Journal!$D$4:$D$503,$A50,Journal!$I$4:$I$503)</f>
        <v>0</v>
      </c>
      <c r="F50" s="32" t="n">
        <f aca="false">IF(D50-E50&gt;0,D50-E50,0)</f>
        <v>0</v>
      </c>
      <c r="G50" s="32" t="n">
        <f aca="false">IF(E50-D50&gt;0,E50-D50,0)</f>
        <v>0</v>
      </c>
      <c r="H50" s="32" t="n">
        <f aca="false">D50-E50</f>
        <v>0</v>
      </c>
    </row>
    <row r="51" customFormat="false" ht="15" hidden="false" customHeight="false" outlineLevel="0" collapsed="false">
      <c r="B51" s="24" t="s">
        <v>240</v>
      </c>
      <c r="D51" s="25" t="n">
        <f aca="false">SUM(D4:D50)</f>
        <v>337500</v>
      </c>
      <c r="E51" s="25" t="n">
        <f aca="false">SUM(E4:E50)</f>
        <v>337500</v>
      </c>
      <c r="F51" s="25" t="n">
        <f aca="false">SUM(F4:F50)</f>
        <v>218500</v>
      </c>
      <c r="G51" s="25" t="n">
        <f aca="false">SUM(G4:G50)</f>
        <v>218500</v>
      </c>
    </row>
    <row r="52" customFormat="false" ht="15" hidden="false" customHeight="false" outlineLevel="0" collapsed="false">
      <c r="A52" s="26" t="str">
        <f aca="false">IF(AND(ROUND(D51-E51,2)=0,ROUND(F51-G51,2)=0),"Balance equilibree — الميزان متوازن","ECART de "&amp;TEXT(ROUND(D51-E51,2),"#,##0.00")&amp;" DA — فرق")</f>
        <v>Balance equilibree — الميزان متوازن</v>
      </c>
      <c r="B52" s="26"/>
      <c r="C52" s="26"/>
      <c r="D52" s="26"/>
      <c r="E52" s="26"/>
      <c r="F52" s="26"/>
      <c r="G52" s="26"/>
    </row>
  </sheetData>
  <mergeCells count="3">
    <mergeCell ref="A1:G1"/>
    <mergeCell ref="A2:G2"/>
    <mergeCell ref="A52:G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2"/>
  </cols>
  <sheetData>
    <row r="1" customFormat="false" ht="30" hidden="false" customHeight="true" outlineLevel="0" collapsed="false">
      <c r="A1" s="1" t="s">
        <v>261</v>
      </c>
      <c r="B1" s="1"/>
      <c r="C1" s="1"/>
      <c r="D1" s="1"/>
    </row>
    <row r="2" customFormat="false" ht="15" hidden="false" customHeight="false" outlineLevel="0" collapsed="false">
      <c r="A2" s="2" t="s">
        <v>262</v>
      </c>
      <c r="B2" s="2"/>
      <c r="C2" s="2"/>
      <c r="D2" s="2"/>
    </row>
    <row r="3" customFormat="false" ht="30" hidden="false" customHeight="true" outlineLevel="0" collapsed="false">
      <c r="A3" s="11" t="s">
        <v>263</v>
      </c>
      <c r="B3" s="11" t="s">
        <v>264</v>
      </c>
      <c r="C3" s="11" t="s">
        <v>265</v>
      </c>
      <c r="D3" s="11"/>
    </row>
    <row r="4" customFormat="false" ht="21.75" hidden="false" customHeight="true" outlineLevel="0" collapsed="false">
      <c r="A4" s="13" t="s">
        <v>181</v>
      </c>
      <c r="B4" s="14" t="s">
        <v>266</v>
      </c>
      <c r="C4" s="32" t="n">
        <f aca="false">-SUMIF(Comptes!$F$4:$F$50,"Chiffre d affaires",Balance!$H$4:$H$50)</f>
        <v>100000</v>
      </c>
    </row>
    <row r="5" customFormat="false" ht="21.75" hidden="false" customHeight="true" outlineLevel="0" collapsed="false">
      <c r="A5" s="13" t="s">
        <v>192</v>
      </c>
      <c r="B5" s="14" t="s">
        <v>193</v>
      </c>
      <c r="C5" s="32" t="n">
        <f aca="false">-SUMIF(Comptes!$F$4:$F$50,"Autres produits operationnels",Balance!$H$4:$H$50)</f>
        <v>-0</v>
      </c>
    </row>
    <row r="6" customFormat="false" ht="21.75" hidden="false" customHeight="true" outlineLevel="0" collapsed="false">
      <c r="A6" s="13" t="s">
        <v>119</v>
      </c>
      <c r="B6" s="14" t="s">
        <v>267</v>
      </c>
      <c r="C6" s="32" t="n">
        <f aca="false">-SUMIF(Comptes!$F$4:$F$50,"Achats consommes",Balance!$H$4:$H$50)</f>
        <v>-50000</v>
      </c>
    </row>
    <row r="7" customFormat="false" ht="21.75" hidden="false" customHeight="true" outlineLevel="0" collapsed="false">
      <c r="A7" s="13" t="s">
        <v>268</v>
      </c>
      <c r="B7" s="14" t="s">
        <v>269</v>
      </c>
      <c r="C7" s="32" t="n">
        <f aca="false">-SUMIF(Comptes!$F$4:$F$50,"Services exterieurs",Balance!$H$4:$H$50)</f>
        <v>-0</v>
      </c>
    </row>
    <row r="8" customFormat="false" ht="21.75" hidden="false" customHeight="true" outlineLevel="0" collapsed="false">
      <c r="A8" s="36" t="s">
        <v>270</v>
      </c>
      <c r="B8" s="37" t="s">
        <v>271</v>
      </c>
      <c r="C8" s="38" t="n">
        <f aca="false">C4+C5+C6+C7</f>
        <v>50000</v>
      </c>
    </row>
    <row r="9" customFormat="false" ht="21.75" hidden="false" customHeight="true" outlineLevel="0" collapsed="false">
      <c r="A9" s="13" t="s">
        <v>154</v>
      </c>
      <c r="B9" s="14" t="s">
        <v>272</v>
      </c>
      <c r="C9" s="32" t="n">
        <f aca="false">-SUMIF(Comptes!$F$4:$F$50,"Charges de personnel",Balance!$H$4:$H$50)</f>
        <v>-40000</v>
      </c>
    </row>
    <row r="10" customFormat="false" ht="21.75" hidden="false" customHeight="true" outlineLevel="0" collapsed="false">
      <c r="A10" s="13" t="s">
        <v>273</v>
      </c>
      <c r="B10" s="14" t="s">
        <v>274</v>
      </c>
      <c r="C10" s="32" t="n">
        <f aca="false">-SUMIF(Comptes!$F$4:$F$50,"Impots et taxes",Balance!$H$4:$H$50)</f>
        <v>-0</v>
      </c>
    </row>
    <row r="11" customFormat="false" ht="21.75" hidden="false" customHeight="true" outlineLevel="0" collapsed="false">
      <c r="A11" s="36" t="s">
        <v>275</v>
      </c>
      <c r="B11" s="37" t="s">
        <v>276</v>
      </c>
      <c r="C11" s="38" t="n">
        <f aca="false">C8+C9+C10</f>
        <v>10000</v>
      </c>
    </row>
    <row r="12" customFormat="false" ht="21.75" hidden="false" customHeight="true" outlineLevel="0" collapsed="false">
      <c r="A12" s="13" t="s">
        <v>277</v>
      </c>
      <c r="B12" s="14" t="s">
        <v>278</v>
      </c>
      <c r="C12" s="32" t="n">
        <f aca="false">-SUMIF(Comptes!$F$4:$F$50,"Dotations",Balance!$H$4:$H$50)</f>
        <v>-0</v>
      </c>
    </row>
    <row r="13" customFormat="false" ht="21.75" hidden="false" customHeight="true" outlineLevel="0" collapsed="false">
      <c r="A13" s="36" t="s">
        <v>279</v>
      </c>
      <c r="B13" s="37" t="s">
        <v>280</v>
      </c>
      <c r="C13" s="38" t="n">
        <f aca="false">C11+C12</f>
        <v>10000</v>
      </c>
    </row>
    <row r="14" customFormat="false" ht="21.75" hidden="false" customHeight="true" outlineLevel="0" collapsed="false">
      <c r="A14" s="13" t="s">
        <v>197</v>
      </c>
      <c r="B14" s="14" t="s">
        <v>281</v>
      </c>
      <c r="C14" s="32" t="n">
        <f aca="false">-SUMIF(Comptes!$F$4:$F$50,"Produits financiers",Balance!$H$4:$H$50)</f>
        <v>-0</v>
      </c>
    </row>
    <row r="15" customFormat="false" ht="21.75" hidden="false" customHeight="true" outlineLevel="0" collapsed="false">
      <c r="A15" s="13" t="s">
        <v>168</v>
      </c>
      <c r="B15" s="14" t="s">
        <v>282</v>
      </c>
      <c r="C15" s="32" t="n">
        <f aca="false">-SUMIF(Comptes!$F$4:$F$50,"Charges financieres",Balance!$H$4:$H$50)</f>
        <v>-0</v>
      </c>
    </row>
    <row r="16" customFormat="false" ht="21.75" hidden="false" customHeight="true" outlineLevel="0" collapsed="false">
      <c r="A16" s="36" t="s">
        <v>283</v>
      </c>
      <c r="B16" s="37" t="s">
        <v>284</v>
      </c>
      <c r="C16" s="38" t="n">
        <f aca="false">C13+C14+C15</f>
        <v>10000</v>
      </c>
    </row>
    <row r="17" customFormat="false" ht="21.75" hidden="false" customHeight="true" outlineLevel="0" collapsed="false">
      <c r="A17" s="13" t="s">
        <v>174</v>
      </c>
      <c r="B17" s="14" t="s">
        <v>175</v>
      </c>
      <c r="C17" s="32" t="n">
        <f aca="false">-SUMIF(Comptes!$F$4:$F$50,"Impots sur le resultat",Balance!$H$4:$H$50)</f>
        <v>-0</v>
      </c>
    </row>
    <row r="18" customFormat="false" ht="27.75" hidden="false" customHeight="true" outlineLevel="0" collapsed="false">
      <c r="A18" s="39" t="s">
        <v>285</v>
      </c>
      <c r="B18" s="40" t="s">
        <v>286</v>
      </c>
      <c r="C18" s="41" t="n">
        <f aca="false">C16+C17</f>
        <v>10000</v>
      </c>
    </row>
    <row r="20" customFormat="false" ht="15" hidden="false" customHeight="false" outlineLevel="0" collapsed="false">
      <c r="A20" s="34" t="s">
        <v>287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26"/>
    <col collapsed="false" customWidth="true" hidden="false" outlineLevel="0" max="6" min="6" style="0" width="18"/>
  </cols>
  <sheetData>
    <row r="1" customFormat="false" ht="30" hidden="false" customHeight="true" outlineLevel="0" collapsed="false">
      <c r="A1" s="1" t="s">
        <v>288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289</v>
      </c>
      <c r="B2" s="2"/>
      <c r="C2" s="2"/>
      <c r="D2" s="2"/>
      <c r="E2" s="2"/>
      <c r="F2" s="2"/>
    </row>
    <row r="3" customFormat="false" ht="30" hidden="false" customHeight="true" outlineLevel="0" collapsed="false">
      <c r="A3" s="11" t="s">
        <v>290</v>
      </c>
      <c r="B3" s="11" t="s">
        <v>291</v>
      </c>
      <c r="C3" s="11" t="s">
        <v>265</v>
      </c>
      <c r="D3" s="11" t="s">
        <v>292</v>
      </c>
      <c r="E3" s="11" t="s">
        <v>293</v>
      </c>
      <c r="F3" s="11" t="s">
        <v>265</v>
      </c>
    </row>
    <row r="4" customFormat="false" ht="15" hidden="false" customHeight="false" outlineLevel="0" collapsed="false">
      <c r="A4" s="13" t="s">
        <v>294</v>
      </c>
      <c r="B4" s="14" t="s">
        <v>295</v>
      </c>
      <c r="C4" s="42" t="n">
        <f aca="false">SUMIF(Comptes!$F$4:$F$50,"Immobilisations",Balance!$H$4:$H$50)</f>
        <v>0</v>
      </c>
      <c r="D4" s="13" t="s">
        <v>39</v>
      </c>
      <c r="E4" s="14" t="s">
        <v>296</v>
      </c>
      <c r="F4" s="42" t="n">
        <f aca="false">-SUMIF(Comptes!$F$4:$F$50,"Capitaux propres",Balance!$H$4:$H$50)</f>
        <v>-0</v>
      </c>
    </row>
    <row r="5" customFormat="false" ht="15" hidden="false" customHeight="false" outlineLevel="0" collapsed="false">
      <c r="A5" s="13" t="s">
        <v>70</v>
      </c>
      <c r="B5" s="14" t="s">
        <v>297</v>
      </c>
      <c r="C5" s="42" t="n">
        <f aca="false">SUMIF(Comptes!$F$4:$F$50,"Stocks",Balance!$H$4:$H$50)</f>
        <v>0</v>
      </c>
      <c r="D5" s="13" t="s">
        <v>298</v>
      </c>
      <c r="E5" s="14" t="s">
        <v>299</v>
      </c>
      <c r="F5" s="42" t="n">
        <f aca="false">Resultat!$C$18</f>
        <v>10000</v>
      </c>
    </row>
    <row r="6" customFormat="false" ht="15" hidden="false" customHeight="false" outlineLevel="0" collapsed="false">
      <c r="A6" s="13" t="s">
        <v>300</v>
      </c>
      <c r="B6" s="14" t="s">
        <v>301</v>
      </c>
      <c r="C6" s="42" t="n">
        <f aca="false">SUMIF(Comptes!$F$4:$F$50,"Creances",Balance!$H$4:$H$50)</f>
        <v>9500</v>
      </c>
      <c r="D6" s="13" t="s">
        <v>49</v>
      </c>
      <c r="E6" s="14" t="s">
        <v>302</v>
      </c>
      <c r="F6" s="42" t="n">
        <f aca="false">-SUMIF(Comptes!$F$4:$F$50,"Dettes financieres",Balance!$H$4:$H$50)</f>
        <v>-0</v>
      </c>
    </row>
    <row r="7" customFormat="false" ht="15" hidden="false" customHeight="false" outlineLevel="0" collapsed="false">
      <c r="A7" s="13" t="s">
        <v>303</v>
      </c>
      <c r="B7" s="14" t="s">
        <v>304</v>
      </c>
      <c r="C7" s="42" t="n">
        <f aca="false">SUMIF(Comptes!$F$4:$F$50,"Tresorerie",Balance!$H$4:$H$50)</f>
        <v>119000</v>
      </c>
      <c r="D7" s="13" t="s">
        <v>80</v>
      </c>
      <c r="E7" s="14" t="s">
        <v>305</v>
      </c>
      <c r="F7" s="42" t="n">
        <f aca="false">-SUMIF(Comptes!$F$4:$F$50,"Dettes fournisseurs",Balance!$H$4:$H$50)</f>
        <v>59500</v>
      </c>
    </row>
    <row r="8" customFormat="false" ht="15" hidden="false" customHeight="false" outlineLevel="0" collapsed="false">
      <c r="A8" s="43"/>
      <c r="B8" s="43"/>
      <c r="C8" s="43"/>
      <c r="D8" s="13" t="s">
        <v>95</v>
      </c>
      <c r="E8" s="14" t="s">
        <v>306</v>
      </c>
      <c r="F8" s="42" t="n">
        <f aca="false">-SUMIF(Comptes!$F$4:$F$50,"Dettes fiscales et sociales",Balance!$H$4:$H$50)</f>
        <v>59000</v>
      </c>
    </row>
    <row r="9" customFormat="false" ht="15" hidden="false" customHeight="false" outlineLevel="0" collapsed="false">
      <c r="A9" s="43"/>
      <c r="B9" s="43"/>
      <c r="C9" s="43"/>
      <c r="D9" s="13" t="s">
        <v>91</v>
      </c>
      <c r="E9" s="14" t="s">
        <v>307</v>
      </c>
      <c r="F9" s="42" t="n">
        <f aca="false">-SUMIF(Comptes!$F$4:$F$50,"Autres dettes",Balance!$H$4:$H$50)</f>
        <v>-0</v>
      </c>
    </row>
    <row r="10" customFormat="false" ht="15" hidden="false" customHeight="false" outlineLevel="0" collapsed="false">
      <c r="A10" s="24" t="s">
        <v>308</v>
      </c>
      <c r="B10" s="24"/>
      <c r="C10" s="25" t="n">
        <f aca="false">SUM(C4:C9)</f>
        <v>128500</v>
      </c>
      <c r="D10" s="24" t="s">
        <v>309</v>
      </c>
      <c r="E10" s="24"/>
      <c r="F10" s="25" t="n">
        <f aca="false">SUM(F4:F9)</f>
        <v>128500</v>
      </c>
    </row>
    <row r="12" customFormat="false" ht="25.5" hidden="false" customHeight="true" outlineLevel="0" collapsed="false">
      <c r="A12" s="44" t="str">
        <f aca="false">IF(ROUND(C10-F10,2)=0,"Bilan equilibre — الميزانية متوازنة","ECART de "&amp;TEXT(ROUND(C10-F10,2),"#,##0.00")&amp;" DA — فرق")</f>
        <v>Bilan equilibre — الميزانية متوازنة</v>
      </c>
      <c r="B12" s="44"/>
      <c r="C12" s="44"/>
      <c r="D12" s="44"/>
      <c r="E12" s="44"/>
      <c r="F12" s="44"/>
    </row>
  </sheetData>
  <mergeCells count="3">
    <mergeCell ref="A1:F1"/>
    <mergeCell ref="A2:F2"/>
    <mergeCell ref="A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0"/>
    <col collapsed="false" customWidth="true" hidden="false" outlineLevel="0" max="4" min="3" style="0" width="18"/>
  </cols>
  <sheetData>
    <row r="1" customFormat="false" ht="30" hidden="false" customHeight="true" outlineLevel="0" collapsed="false">
      <c r="A1" s="1" t="s">
        <v>310</v>
      </c>
      <c r="B1" s="1"/>
      <c r="C1" s="1"/>
      <c r="D1" s="1"/>
    </row>
    <row r="2" customFormat="false" ht="15" hidden="false" customHeight="false" outlineLevel="0" collapsed="false">
      <c r="A2" s="2" t="s">
        <v>311</v>
      </c>
      <c r="B2" s="2"/>
      <c r="C2" s="2"/>
      <c r="D2" s="2"/>
    </row>
    <row r="3" customFormat="false" ht="30" hidden="false" customHeight="true" outlineLevel="0" collapsed="false">
      <c r="A3" s="11" t="s">
        <v>247</v>
      </c>
      <c r="B3" s="11" t="s">
        <v>257</v>
      </c>
      <c r="C3" s="11" t="s">
        <v>312</v>
      </c>
      <c r="D3" s="11" t="s">
        <v>313</v>
      </c>
    </row>
    <row r="4" customFormat="false" ht="15" hidden="false" customHeight="false" outlineLevel="0" collapsed="false">
      <c r="A4" s="35" t="str">
        <f aca="false">IF(Centres!A4="","",Centres!A4)</f>
        <v>GEN</v>
      </c>
      <c r="B4" s="22" t="str">
        <f aca="false">IF(Centres!B4="","",Centres!B4)</f>
        <v>General / non affecte</v>
      </c>
      <c r="C4" s="32" t="n">
        <f aca="false">IF($A4="","",SUMPRODUCT((Journal!$G$4:$G$503=$A4)*(LEFT(Journal!$D$4:$D$503,1)="6")*Journal!$H$4:$H$503))</f>
        <v>0</v>
      </c>
      <c r="D4" s="32" t="n">
        <f aca="false">IF($A4="","",SUMPRODUCT((Journal!$G$4:$G$503=$A4)*(LEFT(Journal!$D$4:$D$503,1)="7")*Journal!$I$4:$I$503))</f>
        <v>0</v>
      </c>
    </row>
    <row r="5" customFormat="false" ht="15" hidden="false" customHeight="false" outlineLevel="0" collapsed="false">
      <c r="A5" s="35" t="str">
        <f aca="false">IF(Centres!A5="","",Centres!A5)</f>
        <v>MAG</v>
      </c>
      <c r="B5" s="22" t="str">
        <f aca="false">IF(Centres!B5="","",Centres!B5)</f>
        <v>Magasin</v>
      </c>
      <c r="C5" s="32" t="n">
        <f aca="false">IF($A5="","",SUMPRODUCT((Journal!$G$4:$G$503=$A5)*(LEFT(Journal!$D$4:$D$503,1)="6")*Journal!$H$4:$H$503))</f>
        <v>50000</v>
      </c>
      <c r="D5" s="32" t="n">
        <f aca="false">IF($A5="","",SUMPRODUCT((Journal!$G$4:$G$503=$A5)*(LEFT(Journal!$D$4:$D$503,1)="7")*Journal!$I$4:$I$503))</f>
        <v>100000</v>
      </c>
    </row>
    <row r="6" customFormat="false" ht="15" hidden="false" customHeight="false" outlineLevel="0" collapsed="false">
      <c r="A6" s="35" t="str">
        <f aca="false">IF(Centres!A6="","",Centres!A6)</f>
        <v>CHA</v>
      </c>
      <c r="B6" s="22" t="str">
        <f aca="false">IF(Centres!B6="","",Centres!B6)</f>
        <v>Chantier</v>
      </c>
      <c r="C6" s="32" t="n">
        <f aca="false">IF($A6="","",SUMPRODUCT((Journal!$G$4:$G$503=$A6)*(LEFT(Journal!$D$4:$D$503,1)="6")*Journal!$H$4:$H$503))</f>
        <v>0</v>
      </c>
      <c r="D6" s="32" t="n">
        <f aca="false">IF($A6="","",SUMPRODUCT((Journal!$G$4:$G$503=$A6)*(LEFT(Journal!$D$4:$D$503,1)="7")*Journal!$I$4:$I$503))</f>
        <v>0</v>
      </c>
    </row>
    <row r="7" customFormat="false" ht="15" hidden="false" customHeight="false" outlineLevel="0" collapsed="false">
      <c r="A7" s="35" t="str">
        <f aca="false">IF(Centres!A7="","",Centres!A7)</f>
        <v>ADM</v>
      </c>
      <c r="B7" s="22" t="str">
        <f aca="false">IF(Centres!B7="","",Centres!B7)</f>
        <v>Administration</v>
      </c>
      <c r="C7" s="32" t="n">
        <f aca="false">IF($A7="","",SUMPRODUCT((Journal!$G$4:$G$503=$A7)*(LEFT(Journal!$D$4:$D$503,1)="6")*Journal!$H$4:$H$503))</f>
        <v>40000</v>
      </c>
      <c r="D7" s="32" t="n">
        <f aca="false">IF($A7="","",SUMPRODUCT((Journal!$G$4:$G$503=$A7)*(LEFT(Journal!$D$4:$D$503,1)="7")*Journal!$I$4:$I$503))</f>
        <v>0</v>
      </c>
    </row>
    <row r="8" customFormat="false" ht="15" hidden="false" customHeight="false" outlineLevel="0" collapsed="false">
      <c r="A8" s="35" t="str">
        <f aca="false">IF(Centres!A8="","",Centres!A8)</f>
        <v>TRA</v>
      </c>
      <c r="B8" s="22" t="str">
        <f aca="false">IF(Centres!B8="","",Centres!B8)</f>
        <v>Transport</v>
      </c>
      <c r="C8" s="32" t="n">
        <f aca="false">IF($A8="","",SUMPRODUCT((Journal!$G$4:$G$503=$A8)*(LEFT(Journal!$D$4:$D$503,1)="6")*Journal!$H$4:$H$503))</f>
        <v>0</v>
      </c>
      <c r="D8" s="32" t="n">
        <f aca="false">IF($A8="","",SUMPRODUCT((Journal!$G$4:$G$503=$A8)*(LEFT(Journal!$D$4:$D$503,1)="7")*Journal!$I$4:$I$503))</f>
        <v>0</v>
      </c>
    </row>
    <row r="9" customFormat="false" ht="15" hidden="false" customHeight="false" outlineLevel="0" collapsed="false">
      <c r="A9" s="35" t="str">
        <f aca="false">IF(Centres!A9="","",Centres!A9)</f>
        <v/>
      </c>
      <c r="B9" s="22" t="str">
        <f aca="false">IF(Centres!B9="","",Centres!B9)</f>
        <v/>
      </c>
      <c r="C9" s="32" t="str">
        <f aca="false">IF($A9="","",SUMPRODUCT((Journal!$G$4:$G$503=$A9)*(LEFT(Journal!$D$4:$D$503,1)="6")*Journal!$H$4:$H$503))</f>
        <v/>
      </c>
      <c r="D9" s="32" t="str">
        <f aca="false">IF($A9="","",SUMPRODUCT((Journal!$G$4:$G$503=$A9)*(LEFT(Journal!$D$4:$D$503,1)="7")*Journal!$I$4:$I$503))</f>
        <v/>
      </c>
    </row>
    <row r="10" customFormat="false" ht="15" hidden="false" customHeight="false" outlineLevel="0" collapsed="false">
      <c r="A10" s="35" t="str">
        <f aca="false">IF(Centres!A10="","",Centres!A10)</f>
        <v/>
      </c>
      <c r="B10" s="22" t="str">
        <f aca="false">IF(Centres!B10="","",Centres!B10)</f>
        <v/>
      </c>
      <c r="C10" s="32" t="str">
        <f aca="false">IF($A10="","",SUMPRODUCT((Journal!$G$4:$G$503=$A10)*(LEFT(Journal!$D$4:$D$503,1)="6")*Journal!$H$4:$H$503))</f>
        <v/>
      </c>
      <c r="D10" s="32" t="str">
        <f aca="false">IF($A10="","",SUMPRODUCT((Journal!$G$4:$G$503=$A10)*(LEFT(Journal!$D$4:$D$503,1)="7")*Journal!$I$4:$I$503))</f>
        <v/>
      </c>
    </row>
    <row r="11" customFormat="false" ht="15" hidden="false" customHeight="false" outlineLevel="0" collapsed="false">
      <c r="A11" s="35" t="str">
        <f aca="false">IF(Centres!A11="","",Centres!A11)</f>
        <v/>
      </c>
      <c r="B11" s="22" t="str">
        <f aca="false">IF(Centres!B11="","",Centres!B11)</f>
        <v/>
      </c>
      <c r="C11" s="32" t="str">
        <f aca="false">IF($A11="","",SUMPRODUCT((Journal!$G$4:$G$503=$A11)*(LEFT(Journal!$D$4:$D$503,1)="6")*Journal!$H$4:$H$503))</f>
        <v/>
      </c>
      <c r="D11" s="32" t="str">
        <f aca="false">IF($A11="","",SUMPRODUCT((Journal!$G$4:$G$503=$A11)*(LEFT(Journal!$D$4:$D$503,1)="7")*Journal!$I$4:$I$503))</f>
        <v/>
      </c>
    </row>
    <row r="12" customFormat="false" ht="15" hidden="false" customHeight="false" outlineLevel="0" collapsed="false">
      <c r="A12" s="35" t="str">
        <f aca="false">IF(Centres!A12="","",Centres!A12)</f>
        <v/>
      </c>
      <c r="B12" s="22" t="str">
        <f aca="false">IF(Centres!B12="","",Centres!B12)</f>
        <v/>
      </c>
      <c r="C12" s="32" t="str">
        <f aca="false">IF($A12="","",SUMPRODUCT((Journal!$G$4:$G$503=$A12)*(LEFT(Journal!$D$4:$D$503,1)="6")*Journal!$H$4:$H$503))</f>
        <v/>
      </c>
      <c r="D12" s="32" t="str">
        <f aca="false">IF($A12="","",SUMPRODUCT((Journal!$G$4:$G$503=$A12)*(LEFT(Journal!$D$4:$D$503,1)="7")*Journal!$I$4:$I$503))</f>
        <v/>
      </c>
    </row>
    <row r="13" customFormat="false" ht="15" hidden="false" customHeight="false" outlineLevel="0" collapsed="false">
      <c r="A13" s="35" t="str">
        <f aca="false">IF(Centres!A13="","",Centres!A13)</f>
        <v/>
      </c>
      <c r="B13" s="22" t="str">
        <f aca="false">IF(Centres!B13="","",Centres!B13)</f>
        <v/>
      </c>
      <c r="C13" s="32" t="str">
        <f aca="false">IF($A13="","",SUMPRODUCT((Journal!$G$4:$G$503=$A13)*(LEFT(Journal!$D$4:$D$503,1)="6")*Journal!$H$4:$H$503))</f>
        <v/>
      </c>
      <c r="D13" s="32" t="str">
        <f aca="false">IF($A13="","",SUMPRODUCT((Journal!$G$4:$G$503=$A13)*(LEFT(Journal!$D$4:$D$503,1)="7")*Journal!$I$4:$I$503))</f>
        <v/>
      </c>
    </row>
    <row r="14" customFormat="false" ht="15" hidden="false" customHeight="false" outlineLevel="0" collapsed="false">
      <c r="A14" s="35" t="str">
        <f aca="false">IF(Centres!A14="","",Centres!A14)</f>
        <v/>
      </c>
      <c r="B14" s="22" t="str">
        <f aca="false">IF(Centres!B14="","",Centres!B14)</f>
        <v/>
      </c>
      <c r="C14" s="32" t="str">
        <f aca="false">IF($A14="","",SUMPRODUCT((Journal!$G$4:$G$503=$A14)*(LEFT(Journal!$D$4:$D$503,1)="6")*Journal!$H$4:$H$503))</f>
        <v/>
      </c>
      <c r="D14" s="32" t="str">
        <f aca="false">IF($A14="","",SUMPRODUCT((Journal!$G$4:$G$503=$A14)*(LEFT(Journal!$D$4:$D$503,1)="7")*Journal!$I$4:$I$503))</f>
        <v/>
      </c>
    </row>
    <row r="15" customFormat="false" ht="15" hidden="false" customHeight="false" outlineLevel="0" collapsed="false">
      <c r="A15" s="35" t="str">
        <f aca="false">IF(Centres!A15="","",Centres!A15)</f>
        <v/>
      </c>
      <c r="B15" s="22" t="str">
        <f aca="false">IF(Centres!B15="","",Centres!B15)</f>
        <v/>
      </c>
      <c r="C15" s="32" t="str">
        <f aca="false">IF($A15="","",SUMPRODUCT((Journal!$G$4:$G$503=$A15)*(LEFT(Journal!$D$4:$D$503,1)="6")*Journal!$H$4:$H$503))</f>
        <v/>
      </c>
      <c r="D15" s="32" t="str">
        <f aca="false">IF($A15="","",SUMPRODUCT((Journal!$G$4:$G$503=$A15)*(LEFT(Journal!$D$4:$D$503,1)="7")*Journal!$I$4:$I$503))</f>
        <v/>
      </c>
    </row>
    <row r="16" customFormat="false" ht="15" hidden="false" customHeight="false" outlineLevel="0" collapsed="false">
      <c r="A16" s="35" t="str">
        <f aca="false">IF(Centres!A16="","",Centres!A16)</f>
        <v/>
      </c>
      <c r="B16" s="22" t="str">
        <f aca="false">IF(Centres!B16="","",Centres!B16)</f>
        <v/>
      </c>
      <c r="C16" s="32" t="str">
        <f aca="false">IF($A16="","",SUMPRODUCT((Journal!$G$4:$G$503=$A16)*(LEFT(Journal!$D$4:$D$503,1)="6")*Journal!$H$4:$H$503))</f>
        <v/>
      </c>
      <c r="D16" s="32" t="str">
        <f aca="false">IF($A16="","",SUMPRODUCT((Journal!$G$4:$G$503=$A16)*(LEFT(Journal!$D$4:$D$503,1)="7")*Journal!$I$4:$I$503))</f>
        <v/>
      </c>
    </row>
    <row r="17" customFormat="false" ht="15" hidden="false" customHeight="false" outlineLevel="0" collapsed="false">
      <c r="A17" s="35" t="str">
        <f aca="false">IF(Centres!A17="","",Centres!A17)</f>
        <v/>
      </c>
      <c r="B17" s="22" t="str">
        <f aca="false">IF(Centres!B17="","",Centres!B17)</f>
        <v/>
      </c>
      <c r="C17" s="32" t="str">
        <f aca="false">IF($A17="","",SUMPRODUCT((Journal!$G$4:$G$503=$A17)*(LEFT(Journal!$D$4:$D$503,1)="6")*Journal!$H$4:$H$503))</f>
        <v/>
      </c>
      <c r="D17" s="32" t="str">
        <f aca="false">IF($A17="","",SUMPRODUCT((Journal!$G$4:$G$503=$A17)*(LEFT(Journal!$D$4:$D$503,1)="7")*Journal!$I$4:$I$503))</f>
        <v/>
      </c>
    </row>
    <row r="18" customFormat="false" ht="15" hidden="false" customHeight="false" outlineLevel="0" collapsed="false">
      <c r="A18" s="35" t="str">
        <f aca="false">IF(Centres!A18="","",Centres!A18)</f>
        <v/>
      </c>
      <c r="B18" s="22" t="str">
        <f aca="false">IF(Centres!B18="","",Centres!B18)</f>
        <v/>
      </c>
      <c r="C18" s="32" t="str">
        <f aca="false">IF($A18="","",SUMPRODUCT((Journal!$G$4:$G$503=$A18)*(LEFT(Journal!$D$4:$D$503,1)="6")*Journal!$H$4:$H$503))</f>
        <v/>
      </c>
      <c r="D18" s="32" t="str">
        <f aca="false">IF($A18="","",SUMPRODUCT((Journal!$G$4:$G$503=$A18)*(LEFT(Journal!$D$4:$D$503,1)="7")*Journal!$I$4:$I$503))</f>
        <v/>
      </c>
    </row>
    <row r="19" customFormat="false" ht="15" hidden="false" customHeight="false" outlineLevel="0" collapsed="false">
      <c r="B19" s="24" t="s">
        <v>314</v>
      </c>
      <c r="C19" s="25" t="n">
        <f aca="false">SUM(C4:C18)</f>
        <v>90000</v>
      </c>
      <c r="D19" s="25" t="n">
        <f aca="false">SUM(D4:D18)</f>
        <v>100000</v>
      </c>
    </row>
    <row r="21" customFormat="false" ht="15" hidden="false" customHeight="false" outlineLevel="0" collapsed="false">
      <c r="B21" s="34" t="s">
        <v>315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2026-08-22T20:39:37Z</dcterms:created>
  <dc:creator>openpyxl</dc:creator>
  <dc:description/>
  <dc:language>en-US</dc:language>
  <cp:lastModifiedBy/>
  <dcterms:modified xsi:type="dcterms:W3CDTF">2026-08-22T20:39:37Z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